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785" windowWidth="17280" windowHeight="10680" tabRatio="846" activeTab="9"/>
  </bookViews>
  <sheets>
    <sheet name="intro" sheetId="1" r:id="rId1"/>
    <sheet name="mean" sheetId="2" r:id="rId2"/>
    <sheet name="deviation" sheetId="3" r:id="rId3"/>
    <sheet name="z-score" sheetId="4" r:id="rId4"/>
    <sheet name="stanine" sheetId="5" r:id="rId5"/>
    <sheet name="P(z)" sheetId="6" r:id="rId6"/>
    <sheet name="Probabilities" sheetId="7" r:id="rId7"/>
    <sheet name="notes" sheetId="8" r:id="rId8"/>
    <sheet name="cum" sheetId="9" r:id="rId9"/>
    <sheet name="expected value" sheetId="10" r:id="rId10"/>
    <sheet name="binomial" sheetId="11" r:id="rId11"/>
    <sheet name="unemployment" sheetId="12" r:id="rId12"/>
    <sheet name="chi squared" sheetId="13" r:id="rId13"/>
    <sheet name="random no w samples" sheetId="14" r:id="rId14"/>
    <sheet name="2p test" sheetId="15" r:id="rId15"/>
    <sheet name="indep &amp; homogeneity" sheetId="16" r:id="rId16"/>
    <sheet name="prove normal" sheetId="17" r:id="rId17"/>
    <sheet name="independent2sample" sheetId="18" r:id="rId18"/>
    <sheet name="dependent2sample" sheetId="19" r:id="rId19"/>
    <sheet name="correlation coefficient" sheetId="20" r:id="rId20"/>
    <sheet name="ANOVA" sheetId="21" r:id="rId21"/>
  </sheets>
  <definedNames>
    <definedName name="a_low">'notes'!$G$8</definedName>
    <definedName name="alow">'notes'!$G$8</definedName>
    <definedName name="b_low">'notes'!$G$10</definedName>
    <definedName name="c_low">'notes'!$G$12</definedName>
    <definedName name="d_low">'notes'!$G$14</definedName>
    <definedName name="exa">'Probabilities'!#REF!</definedName>
    <definedName name="exb">'Probabilities'!#REF!</definedName>
    <definedName name="exc">'Probabilities'!#REF!</definedName>
    <definedName name="exd">'Probabilities'!#REF!</definedName>
    <definedName name="expmean">'prove normal'!$P$3</definedName>
    <definedName name="expstdev">'prove normal'!$P$4</definedName>
    <definedName name="lowa">'notes'!$G$8</definedName>
    <definedName name="lowb">'notes'!$G$10</definedName>
    <definedName name="lowc">'notes'!$G$12</definedName>
    <definedName name="lowd">'notes'!$G$14</definedName>
    <definedName name="mean">'Probabilities'!#REF!</definedName>
    <definedName name="mean_is">'deviation'!$O$30</definedName>
    <definedName name="nmean">#REF!</definedName>
    <definedName name="nst_dev">#REF!</definedName>
    <definedName name="obsn">'prove normal'!$B$22</definedName>
    <definedName name="out_of">'notes'!$G$4</definedName>
    <definedName name="_xlnm.Print_Area" localSheetId="6">'Probabilities'!#REF!</definedName>
    <definedName name="questions">'Probabilities'!#REF!</definedName>
    <definedName name="st_dev">'Probabilities'!#REF!</definedName>
  </definedNames>
  <calcPr fullCalcOnLoad="1"/>
</workbook>
</file>

<file path=xl/sharedStrings.xml><?xml version="1.0" encoding="utf-8"?>
<sst xmlns="http://schemas.openxmlformats.org/spreadsheetml/2006/main" count="1139" uniqueCount="527">
  <si>
    <t>mean</t>
  </si>
  <si>
    <t>st dev</t>
  </si>
  <si>
    <t>name</t>
  </si>
  <si>
    <t>1st:</t>
  </si>
  <si>
    <t>Step 0:</t>
  </si>
  <si>
    <t>Step</t>
  </si>
  <si>
    <t>2nd:</t>
  </si>
  <si>
    <t>3rd:</t>
  </si>
  <si>
    <t>4th:</t>
  </si>
  <si>
    <t>5th:</t>
  </si>
  <si>
    <t>6th:</t>
  </si>
  <si>
    <t>Compute standard deviation (automatically done w/functions).</t>
  </si>
  <si>
    <t>Compute the mean (automatically done w/functions).</t>
  </si>
  <si>
    <t>Page</t>
  </si>
  <si>
    <t>Contents</t>
  </si>
  <si>
    <t>●</t>
  </si>
  <si>
    <t>z-score</t>
  </si>
  <si>
    <t>stanine</t>
  </si>
  <si>
    <t>=IF(K87&gt;1.75,9",IF(K87&gt;1.25,"8",IF(K87&gt;0.75,"7",IF(K87&gt;0.25,"6",IF(K87&gt;-0.25,"5",IF(K87&gt;-0.75,"4",IF(K87&gt;-0.125,"3",IF(K87&gt;-1.75,"2","1"))))))))</t>
  </si>
  <si>
    <t>=IF(g3&gt;1,A",IF(g3&gt;.25,"B",IF(g3&gt;-0.25,"C",IF(g3&gt;-1,"D","F"))))</t>
  </si>
  <si>
    <t>Create a name to represent a formula or a constant</t>
  </si>
  <si>
    <t xml:space="preserve">On the Insert menu, point to Name, and then click Define. </t>
  </si>
  <si>
    <t xml:space="preserve">In the Names in workbook box, enter the name for the formula. </t>
  </si>
  <si>
    <t xml:space="preserve">In the Refers to box, type = (equal sign), followed by the formula or the constant value. </t>
  </si>
  <si>
    <t>intro</t>
  </si>
  <si>
    <t>stat.xls</t>
  </si>
  <si>
    <t>Title &amp; Contents</t>
  </si>
  <si>
    <t xml:space="preserve">Computes mean, standard deviation, and z-scores, and stanine for 30 pieces of data.  </t>
  </si>
  <si>
    <t>Enter the data.</t>
  </si>
  <si>
    <t>data</t>
  </si>
  <si>
    <t>(optional) Select all the data then Sort scores using the Sort Ascending or Sort Descending button.</t>
  </si>
  <si>
    <t>Compute z-score for each data point (automatically w/formulas).</t>
  </si>
  <si>
    <t>Compute the stanine of each piece of data (automatically w/formulas).</t>
  </si>
  <si>
    <t>P(z)</t>
  </si>
  <si>
    <t xml:space="preserve">mean   </t>
  </si>
  <si>
    <t xml:space="preserve">Computes mean of 5, 10, 20, 30 pieces of data.  </t>
  </si>
  <si>
    <t>The spreadsheet computes the mean, the arithmetic average, the sum of the numbers divided by the number of numbers.</t>
  </si>
  <si>
    <t>sum is</t>
  </si>
  <si>
    <t>number of numbers is</t>
  </si>
  <si>
    <t>mean is</t>
  </si>
  <si>
    <t>x</t>
  </si>
  <si>
    <t>Enter the data, each x value.</t>
  </si>
  <si>
    <t>deviation</t>
  </si>
  <si>
    <t xml:space="preserve">Computes mean and standard deviation of three groups of 10 scores.  </t>
  </si>
  <si>
    <t xml:space="preserve">standard deviation is </t>
  </si>
  <si>
    <t>(optional) Select all the data then Sort scores using the Sort Ascending or Sort Descending button or Data Menu.</t>
  </si>
  <si>
    <t>The spreadsheet computes the mean (arithmetic average) and the standard deviation (the average spread of data relative to the mean).</t>
  </si>
  <si>
    <t>Computes x-score or z-score  or mean or standard deviation of normal and standard normal scores.</t>
  </si>
  <si>
    <t>Compute z-score given x, mean, standard deviation.</t>
  </si>
  <si>
    <t xml:space="preserve"> </t>
  </si>
  <si>
    <t>Compute x (the data) given z-score, mean, standard deviation.</t>
  </si>
  <si>
    <t>The standard deviation - the average spread of the data relative to the mean computed in the usual way.</t>
  </si>
  <si>
    <t>x - mean</t>
  </si>
  <si>
    <r>
      <t>(x - mean)</t>
    </r>
    <r>
      <rPr>
        <sz val="9"/>
        <rFont val="Arial"/>
        <family val="2"/>
      </rPr>
      <t>²</t>
    </r>
  </si>
  <si>
    <t xml:space="preserve">x - mean </t>
  </si>
  <si>
    <t>is the difference between the data and the mean</t>
  </si>
  <si>
    <t xml:space="preserve">x  </t>
  </si>
  <si>
    <t>is a score or piece of data</t>
  </si>
  <si>
    <t xml:space="preserve"> is the square of the difference (makes difference a distance)</t>
  </si>
  <si>
    <t>Enter 10 pieces of data in the "pink column" and the standard deviation will be computed in table form using the formula.</t>
  </si>
  <si>
    <t>the value n-1, one less than 10 is</t>
  </si>
  <si>
    <r>
      <t>the sum of the (x - mean)</t>
    </r>
    <r>
      <rPr>
        <sz val="9"/>
        <rFont val="Arial"/>
        <family val="2"/>
      </rPr>
      <t>² is ∑(x - mean)² is</t>
    </r>
  </si>
  <si>
    <r>
      <t xml:space="preserve">∑(x - mean)² </t>
    </r>
    <r>
      <rPr>
        <sz val="9"/>
        <rFont val="Arial"/>
        <family val="2"/>
      </rPr>
      <t>÷</t>
    </r>
    <r>
      <rPr>
        <sz val="9"/>
        <rFont val="Arial"/>
        <family val="0"/>
      </rPr>
      <t xml:space="preserve"> (n-1) is</t>
    </r>
  </si>
  <si>
    <t xml:space="preserve"> is also called the variance.</t>
  </si>
  <si>
    <t>Computes the standard deviation of 10 numbers using the formula displayed in table format.</t>
  </si>
  <si>
    <t>To do it the "easy way," have the spread sheet</t>
  </si>
  <si>
    <t xml:space="preserve">    compute the desired probability.</t>
  </si>
  <si>
    <t>Positive z-score</t>
  </si>
  <si>
    <t>Probability</t>
  </si>
  <si>
    <t>Percent</t>
  </si>
  <si>
    <t>P(z&lt;a)</t>
  </si>
  <si>
    <t>any z-score</t>
  </si>
  <si>
    <t>Traditional Way with Table</t>
  </si>
  <si>
    <t>This uses =NORMSDIST(D20)-0.5</t>
  </si>
  <si>
    <t>This uses =NORMSDIST(D35)</t>
  </si>
  <si>
    <t>Probabilities</t>
  </si>
  <si>
    <t>Have the spreadsheet compute all the desired probabilities.</t>
  </si>
  <si>
    <t>Use a z-score and the spread sheet to compute some probability given a normal distribution.</t>
  </si>
  <si>
    <t>Traditional use of z-scores and probability table.</t>
  </si>
  <si>
    <t>notes</t>
  </si>
  <si>
    <t>for this shread sheet</t>
  </si>
  <si>
    <t>Statistic Spread Sheet Functions</t>
  </si>
  <si>
    <t xml:space="preserve">  </t>
  </si>
  <si>
    <t xml:space="preserve"> use NORMDIST(x,mean, standard_dev,cumulative) </t>
  </si>
  <si>
    <t xml:space="preserve">Returns the normal cumulative distribution for the specified mean and standard deviation. </t>
  </si>
  <si>
    <t xml:space="preserve">Note: Cumulative is either true for less than or equal to or false for greater than or equal to. </t>
  </si>
  <si>
    <t xml:space="preserve"> use NORMINV(probability,mean,standard_dev) </t>
  </si>
  <si>
    <t xml:space="preserve">Returns the inverse of the normal curve distribution for the specified mean and standard deviation. </t>
  </si>
  <si>
    <t xml:space="preserve"> use NORMSDIST(z) </t>
  </si>
  <si>
    <t xml:space="preserve">Returns the standard normal cumulative distribution (has a mean of zero and a standard deviation of one). </t>
  </si>
  <si>
    <t xml:space="preserve"> use NORMSINV(probability) </t>
  </si>
  <si>
    <t xml:space="preserve">Returns the inverse of the standard normal cumulative distribution (has a mean of zero and a standard deviation of one). </t>
  </si>
  <si>
    <t xml:space="preserve"> use PROB(x_range,prob_range,lower_limit.Upper_limit) </t>
  </si>
  <si>
    <t xml:space="preserve">Returns the probability that values in a range are between two limits or equal to a lower limit. </t>
  </si>
  <si>
    <t>Area Under the Curve</t>
  </si>
  <si>
    <t xml:space="preserve">      </t>
  </si>
  <si>
    <t xml:space="preserve">      The area below a score is p(x &lt; a) and is computed with: </t>
  </si>
  <si>
    <t xml:space="preserve">      =NORMDIST(a,mean,standard deviation,true) </t>
  </si>
  <si>
    <t xml:space="preserve">      The area above a score is p(x &gt; a) and is computed with: </t>
  </si>
  <si>
    <t xml:space="preserve">      =1-NORMDIST(a,mean,standard deviation,true)or </t>
  </si>
  <si>
    <t xml:space="preserve">      =NORMDIST(a,mean, standard deviation,false) </t>
  </si>
  <si>
    <t xml:space="preserve">      The area between two score is p(b &lt; x &lt; a) and is computed with: </t>
  </si>
  <si>
    <t xml:space="preserve">=NORMDIST(a,mean, standard deviation,true) - </t>
  </si>
  <si>
    <t xml:space="preserve">    NORMDIST(b,mean,standard deviation,true) </t>
  </si>
  <si>
    <t>The Probability a Score is Below a Score, Above a Score, or Between Two Scores</t>
  </si>
  <si>
    <t>a</t>
  </si>
  <si>
    <t>P(x&lt;a)</t>
  </si>
  <si>
    <t>Compute the probability x is less than a.</t>
  </si>
  <si>
    <t>b</t>
  </si>
  <si>
    <t>P(x&gt;a)</t>
  </si>
  <si>
    <t>P(b&lt;x&lt;a)</t>
  </si>
  <si>
    <t>z</t>
  </si>
  <si>
    <t>Find the z-score and x-score.</t>
  </si>
  <si>
    <t>P(z&gt;a)</t>
  </si>
  <si>
    <t>Compute:   P(x&lt;a), P(x&gt;a), P(b&lt;x&lt;a), z-score or x-score given probabilities.</t>
  </si>
  <si>
    <t>Follow instructions on page.  Colored cells are self-computing.  Enter data in other cells.</t>
  </si>
  <si>
    <t>Enter info in the white cells and the computation is completed in the yellow cells.</t>
  </si>
  <si>
    <t>Stanine - Standard Nine intervals of scores, each with a width of .5 standard deviations, but having different probabilities.</t>
  </si>
  <si>
    <t xml:space="preserve"> For a negative z-scores, use its opposite z-score.</t>
  </si>
  <si>
    <t>Enter info in white cell and answer is computed in blue cell.</t>
  </si>
  <si>
    <t>Enter info in white cell and the answer is computed in the yellow cell.</t>
  </si>
  <si>
    <t>The Scores That Yields A Given Area Under the Curve</t>
  </si>
  <si>
    <t>TRADITIONAL PROBABILITY TABLE</t>
  </si>
  <si>
    <t>cum</t>
  </si>
  <si>
    <t>Cumulative  z-scores probability table.</t>
  </si>
  <si>
    <t>z+.00</t>
  </si>
  <si>
    <t>z+.01</t>
  </si>
  <si>
    <t>z+.02</t>
  </si>
  <si>
    <t>z+.03</t>
  </si>
  <si>
    <t>z+.04</t>
  </si>
  <si>
    <t>z+.05</t>
  </si>
  <si>
    <t>z+.06</t>
  </si>
  <si>
    <t>z+.07</t>
  </si>
  <si>
    <t>z+.08</t>
  </si>
  <si>
    <t>z+.09</t>
  </si>
  <si>
    <t>use =NORMDIST(a1+.00,0,1,TRUE) to generate cumulative probabilities</t>
  </si>
  <si>
    <t xml:space="preserve">The probability a score is </t>
  </si>
  <si>
    <t xml:space="preserve">Standard Normal </t>
  </si>
  <si>
    <t xml:space="preserve">    Cumulative Distribution</t>
  </si>
  <si>
    <t xml:space="preserve">  less than this z</t>
  </si>
  <si>
    <t>binomial</t>
  </si>
  <si>
    <t>some binomial distributions and a self-computing cell</t>
  </si>
  <si>
    <t>p</t>
  </si>
  <si>
    <t>n</t>
  </si>
  <si>
    <t>Rank</t>
  </si>
  <si>
    <t>State</t>
  </si>
  <si>
    <t>Rate</t>
  </si>
  <si>
    <t>NORTH DAKOTA</t>
  </si>
  <si>
    <t>NEBRASKA</t>
  </si>
  <si>
    <t>SOUTH DAKOTA</t>
  </si>
  <si>
    <t>VERMONT</t>
  </si>
  <si>
    <t>NEW HAMPSHIRE</t>
  </si>
  <si>
    <t>OKLAHOMA</t>
  </si>
  <si>
    <t>IOWA</t>
  </si>
  <si>
    <t>WYOMING</t>
  </si>
  <si>
    <t>MINNESOTA</t>
  </si>
  <si>
    <t>VIRGINIA</t>
  </si>
  <si>
    <t>UTAH</t>
  </si>
  <si>
    <t>KANSAS</t>
  </si>
  <si>
    <t>MONTANA</t>
  </si>
  <si>
    <t>HAWAII</t>
  </si>
  <si>
    <t>MASSACHUSETTS</t>
  </si>
  <si>
    <t>MARYLAND</t>
  </si>
  <si>
    <t>WEST VIRGINIA</t>
  </si>
  <si>
    <t>WISCONSIN</t>
  </si>
  <si>
    <t>DELAWARE</t>
  </si>
  <si>
    <t>ALASKA</t>
  </si>
  <si>
    <t>NEW MEXICO</t>
  </si>
  <si>
    <t>TEXAS</t>
  </si>
  <si>
    <t>LOUISIANA</t>
  </si>
  <si>
    <t>ALABAMA</t>
  </si>
  <si>
    <t>ARKANSAS</t>
  </si>
  <si>
    <t>MAINE</t>
  </si>
  <si>
    <t>MISSOURI</t>
  </si>
  <si>
    <t>OHIO</t>
  </si>
  <si>
    <t>PENNSYLVANIA</t>
  </si>
  <si>
    <t>CONNECTICUT</t>
  </si>
  <si>
    <t>IDAHO</t>
  </si>
  <si>
    <t>TENNESSEE</t>
  </si>
  <si>
    <t>COLORADO</t>
  </si>
  <si>
    <t>INDIANA</t>
  </si>
  <si>
    <t>WASHINGTON</t>
  </si>
  <si>
    <t>ARIZONA</t>
  </si>
  <si>
    <t>KENTUCKY</t>
  </si>
  <si>
    <t>MICHIGAN</t>
  </si>
  <si>
    <t>NEW YORK</t>
  </si>
  <si>
    <t>OREGON</t>
  </si>
  <si>
    <t>FLORIDA</t>
  </si>
  <si>
    <t>ILLINOIS</t>
  </si>
  <si>
    <t>MISSISSIPPI</t>
  </si>
  <si>
    <t>SOUTH CAROLINA</t>
  </si>
  <si>
    <t>GEORGIA</t>
  </si>
  <si>
    <t>NEW JERSEY</t>
  </si>
  <si>
    <t>NORTH CAROLINA</t>
  </si>
  <si>
    <t>DISTRICT OF COLUMBIA</t>
  </si>
  <si>
    <t>CALIFORNIA</t>
  </si>
  <si>
    <t>RHODE ISLAND</t>
  </si>
  <si>
    <t>NEVADA</t>
  </si>
  <si>
    <t>MEAN</t>
  </si>
  <si>
    <t>STDEV</t>
  </si>
  <si>
    <t>n=15</t>
  </si>
  <si>
    <t>Unemployment Rates for States - Monthly Rankings Seasonally Adjusted, April 2012</t>
  </si>
  <si>
    <t>"=RANDBETWEEN(7,53)"</t>
  </si>
  <si>
    <t>n=12</t>
  </si>
  <si>
    <t>n=30</t>
  </si>
  <si>
    <t>n=40</t>
  </si>
  <si>
    <t>"=RANDBETWEEN(0,12)"</t>
  </si>
  <si>
    <t>"=RANDBETWEEN(0,50)"</t>
  </si>
  <si>
    <t>"=RANDBETWEEN(40,100)"</t>
  </si>
  <si>
    <t>n=100</t>
  </si>
  <si>
    <t>overall</t>
  </si>
  <si>
    <t>n=10</t>
  </si>
  <si>
    <t>stdev</t>
  </si>
  <si>
    <t xml:space="preserve">The average on the publisher's  tests is 70%. </t>
  </si>
  <si>
    <t xml:space="preserve">A random sample of 10 students in this year's class had a mean of 78, standard deviation of 10.  </t>
  </si>
  <si>
    <t>With 95% certainty is there evidence to support the claim that this class achieved better than the published average.</t>
  </si>
  <si>
    <t>observed</t>
  </si>
  <si>
    <t>expected</t>
  </si>
  <si>
    <t>O - E</t>
  </si>
  <si>
    <t>(O-E)^2</t>
  </si>
  <si>
    <t>(O-E)^2/E</t>
  </si>
  <si>
    <t>chi squared =</t>
  </si>
  <si>
    <t>chisquaredGOFtest</t>
  </si>
  <si>
    <t>p is</t>
  </si>
  <si>
    <t>d.f is</t>
  </si>
  <si>
    <r>
      <t>the sum of the x</t>
    </r>
    <r>
      <rPr>
        <sz val="9"/>
        <rFont val="Arial"/>
        <family val="2"/>
      </rPr>
      <t>² is ∑x² is</t>
    </r>
  </si>
  <si>
    <t xml:space="preserve">x² </t>
  </si>
  <si>
    <r>
      <t>the sum x</t>
    </r>
    <r>
      <rPr>
        <sz val="9"/>
        <rFont val="Arial"/>
        <family val="2"/>
      </rPr>
      <t xml:space="preserve"> is ∑x is</t>
    </r>
  </si>
  <si>
    <r>
      <t>the squared of the sum of the(</t>
    </r>
    <r>
      <rPr>
        <sz val="9"/>
        <rFont val="Calibri"/>
        <family val="2"/>
      </rPr>
      <t>∑</t>
    </r>
    <r>
      <rPr>
        <sz val="9"/>
        <rFont val="Arial"/>
        <family val="0"/>
      </rPr>
      <t>x)</t>
    </r>
    <r>
      <rPr>
        <sz val="9"/>
        <rFont val="Arial"/>
        <family val="2"/>
      </rPr>
      <t>² is</t>
    </r>
  </si>
  <si>
    <t>n is</t>
  </si>
  <si>
    <t>the value n-1 is</t>
  </si>
  <si>
    <t>the square root of the variance is the standard deviation, s, is</t>
  </si>
  <si>
    <r>
      <t>n(∑x)² - (</t>
    </r>
    <r>
      <rPr>
        <sz val="9"/>
        <rFont val="Calibri"/>
        <family val="2"/>
      </rPr>
      <t>∑</t>
    </r>
    <r>
      <rPr>
        <sz val="9"/>
        <rFont val="Arial"/>
        <family val="2"/>
      </rPr>
      <t>x</t>
    </r>
    <r>
      <rPr>
        <sz val="9"/>
        <rFont val="Arial"/>
        <family val="0"/>
      </rPr>
      <t>)</t>
    </r>
    <r>
      <rPr>
        <sz val="9"/>
        <rFont val="Calibri"/>
        <family val="2"/>
      </rPr>
      <t>²</t>
    </r>
    <r>
      <rPr>
        <sz val="9"/>
        <rFont val="Arial"/>
        <family val="0"/>
      </rPr>
      <t xml:space="preserve"> is</t>
    </r>
  </si>
  <si>
    <t>n(n-1) is</t>
  </si>
  <si>
    <t>the square root of the variance is s, the standard deviation, is</t>
  </si>
  <si>
    <r>
      <t>[n(∑x)² - (</t>
    </r>
    <r>
      <rPr>
        <sz val="9"/>
        <rFont val="Calibri"/>
        <family val="2"/>
      </rPr>
      <t>∑</t>
    </r>
    <r>
      <rPr>
        <sz val="9"/>
        <rFont val="Arial"/>
        <family val="2"/>
      </rPr>
      <t>x</t>
    </r>
    <r>
      <rPr>
        <sz val="9"/>
        <rFont val="Arial"/>
        <family val="0"/>
      </rPr>
      <t>)</t>
    </r>
    <r>
      <rPr>
        <sz val="9"/>
        <rFont val="Calibri"/>
        <family val="2"/>
      </rPr>
      <t>²]/[n(n-1)] is the variance</t>
    </r>
    <r>
      <rPr>
        <sz val="9"/>
        <rFont val="Arial"/>
        <family val="0"/>
      </rPr>
      <t xml:space="preserve"> is</t>
    </r>
  </si>
  <si>
    <t xml:space="preserve">fx² </t>
  </si>
  <si>
    <t>mark, x</t>
  </si>
  <si>
    <t>fx</t>
  </si>
  <si>
    <t>OBSERVED DISTRIBUTION</t>
  </si>
  <si>
    <t>∑fx is</t>
  </si>
  <si>
    <t>∑fx² is</t>
  </si>
  <si>
    <t>standard deviation is</t>
  </si>
  <si>
    <t>n-1 is</t>
  </si>
  <si>
    <t>variance is</t>
  </si>
  <si>
    <t>EXPECTED DISTRIBUTION</t>
  </si>
  <si>
    <t>lower</t>
  </si>
  <si>
    <t>upper</t>
  </si>
  <si>
    <t>EXPECTEDF is normdist(upper,expmean,expstdev,true) - normdist(lower,expmean,expstdev,true)</t>
  </si>
  <si>
    <t>Use these descriptive statistics from the OBSERVED DISTRIBUTION.</t>
  </si>
  <si>
    <t>O =freq, f</t>
  </si>
  <si>
    <t>E =EXPECTED%</t>
  </si>
  <si>
    <t>E = EXPECTEDf</t>
  </si>
  <si>
    <t>EXPECTEDf is EXPECTED%)(n of OBSERVED)</t>
  </si>
  <si>
    <t>n is and is named as "obsn" as a label</t>
  </si>
  <si>
    <t>EXPECTEDf is less than 5.</t>
  </si>
  <si>
    <t>Also change the d.f..</t>
  </si>
  <si>
    <t>Combine groups if ANY</t>
  </si>
  <si>
    <t>d.f.=(no of groups)-1</t>
  </si>
  <si>
    <t>Use CHIDIST(x,def_freedom)</t>
  </si>
  <si>
    <t>is named expstdev using [Formulas] [define name]</t>
  </si>
  <si>
    <t>is named expmean using [Formulas] [define name]</t>
  </si>
  <si>
    <t>NORMALITY OF DISTRIBUTION</t>
  </si>
  <si>
    <t xml:space="preserve">COMPLETE A GOF TEST FOR </t>
  </si>
  <si>
    <t>chi squared</t>
  </si>
  <si>
    <t>complete a Chi Square GOF Test</t>
  </si>
  <si>
    <t>prove normal</t>
  </si>
  <si>
    <t>complete a Chi Square GOF Test to test for normality of observed distribution</t>
  </si>
  <si>
    <t>unemployment</t>
  </si>
  <si>
    <t>record by US states for April 2012</t>
  </si>
  <si>
    <t>random no w/samples</t>
  </si>
  <si>
    <t>random numbers generated in groups</t>
  </si>
  <si>
    <t>© 2003, 2008, 2012 A. Azzolino</t>
  </si>
  <si>
    <r>
      <t>(</t>
    </r>
    <r>
      <rPr>
        <b/>
        <sz val="9"/>
        <rFont val="Calibri"/>
        <family val="2"/>
      </rPr>
      <t>∑f</t>
    </r>
    <r>
      <rPr>
        <b/>
        <sz val="9"/>
        <rFont val="Arial"/>
        <family val="2"/>
      </rPr>
      <t>x)² is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</si>
  <si>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: Observed distribution is normal.</t>
    </r>
  </si>
  <si>
    <r>
      <t>n(∑fx²) - (</t>
    </r>
    <r>
      <rPr>
        <b/>
        <sz val="9"/>
        <rFont val="Calibri"/>
        <family val="2"/>
      </rPr>
      <t>∑f</t>
    </r>
    <r>
      <rPr>
        <b/>
        <sz val="9"/>
        <rFont val="Arial"/>
        <family val="2"/>
      </rPr>
      <t>x)</t>
    </r>
    <r>
      <rPr>
        <b/>
        <sz val="9"/>
        <rFont val="Calibri"/>
        <family val="2"/>
      </rPr>
      <t>²</t>
    </r>
    <r>
      <rPr>
        <b/>
        <sz val="9"/>
        <rFont val="Arial"/>
        <family val="2"/>
      </rPr>
      <t xml:space="preserve"> is</t>
    </r>
  </si>
  <si>
    <r>
      <t>H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: Observed distribution is not normal.</t>
    </r>
  </si>
  <si>
    <r>
      <t>[n(∑fx²) - (</t>
    </r>
    <r>
      <rPr>
        <b/>
        <sz val="9"/>
        <rFont val="Calibri"/>
        <family val="2"/>
      </rPr>
      <t>∑f</t>
    </r>
    <r>
      <rPr>
        <b/>
        <sz val="9"/>
        <rFont val="Arial"/>
        <family val="2"/>
      </rPr>
      <t>x)</t>
    </r>
    <r>
      <rPr>
        <b/>
        <sz val="9"/>
        <rFont val="Calibri"/>
        <family val="2"/>
      </rPr>
      <t>²]/[n(n-1)] is the variance</t>
    </r>
    <r>
      <rPr>
        <b/>
        <sz val="9"/>
        <rFont val="Arial"/>
        <family val="2"/>
      </rPr>
      <t xml:space="preserve"> is</t>
    </r>
  </si>
  <si>
    <t xml:space="preserve">n </t>
  </si>
  <si>
    <t xml:space="preserve">   COMPLETE A GOF TEST FOR </t>
  </si>
  <si>
    <t>OBSERVED statistics.</t>
  </si>
  <si>
    <t>Bin</t>
  </si>
  <si>
    <t>More</t>
  </si>
  <si>
    <t>Frequency</t>
  </si>
  <si>
    <t>"=RANDBETWEEN(60,100)"</t>
  </si>
  <si>
    <t>"=RANDBETWEEN(6,10)"</t>
  </si>
  <si>
    <r>
      <t>n(∑fx²) - (</t>
    </r>
    <r>
      <rPr>
        <b/>
        <sz val="9"/>
        <rFont val="Calibri"/>
        <family val="2"/>
      </rPr>
      <t>∑f</t>
    </r>
    <r>
      <rPr>
        <b/>
        <sz val="9"/>
        <rFont val="Arial"/>
        <family val="2"/>
      </rPr>
      <t>x)</t>
    </r>
    <r>
      <rPr>
        <b/>
        <sz val="9"/>
        <rFont val="Calibri"/>
        <family val="2"/>
      </rPr>
      <t>²</t>
    </r>
  </si>
  <si>
    <t>n(n-1)</t>
  </si>
  <si>
    <t>E%</t>
  </si>
  <si>
    <t>Efrequ</t>
  </si>
  <si>
    <r>
      <t>[n(∑fx²) - (</t>
    </r>
    <r>
      <rPr>
        <b/>
        <sz val="9"/>
        <rFont val="Calibri"/>
        <family val="2"/>
      </rPr>
      <t>∑f</t>
    </r>
    <r>
      <rPr>
        <b/>
        <sz val="9"/>
        <rFont val="Arial"/>
        <family val="2"/>
      </rPr>
      <t>x)</t>
    </r>
    <r>
      <rPr>
        <b/>
        <sz val="9"/>
        <rFont val="Calibri"/>
        <family val="2"/>
      </rPr>
      <t>²]/[n(n-1),</t>
    </r>
  </si>
  <si>
    <t>the variance</t>
  </si>
  <si>
    <r>
      <rPr>
        <b/>
        <sz val="9"/>
        <rFont val="Calibri"/>
        <family val="2"/>
      </rPr>
      <t>√</t>
    </r>
    <r>
      <rPr>
        <b/>
        <sz val="7.2"/>
        <rFont val="Arial"/>
        <family val="2"/>
      </rPr>
      <t>(</t>
    </r>
    <r>
      <rPr>
        <b/>
        <sz val="9"/>
        <rFont val="Arial"/>
        <family val="2"/>
      </rPr>
      <t>variance),</t>
    </r>
  </si>
  <si>
    <t xml:space="preserve"> the standard deviation.</t>
  </si>
  <si>
    <t>O freq,f</t>
  </si>
  <si>
    <t>Population 1</t>
  </si>
  <si>
    <t>Population 2</t>
  </si>
  <si>
    <t>population stdev is</t>
  </si>
  <si>
    <t>sample size is</t>
  </si>
  <si>
    <t>sample stdev is</t>
  </si>
  <si>
    <t>population mean</t>
  </si>
  <si>
    <t>sample mean is</t>
  </si>
  <si>
    <t>(mean1 - mean2)</t>
  </si>
  <si>
    <t>=</t>
  </si>
  <si>
    <t>+</t>
  </si>
  <si>
    <t>(samplemean1 - samplemean2)</t>
  </si>
  <si>
    <t>degrees of freedom</t>
  </si>
  <si>
    <r>
      <t>(smaller of n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-1 and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-1)</t>
    </r>
  </si>
  <si>
    <t xml:space="preserve">p is </t>
  </si>
  <si>
    <t>is not needed because popmean1 assumed = to popmean2 by null hypothesis</t>
  </si>
  <si>
    <t>...2</t>
  </si>
  <si>
    <t>one-tail</t>
  </si>
  <si>
    <t>rounded to</t>
  </si>
  <si>
    <t>d.f.</t>
  </si>
  <si>
    <t>one tail</t>
  </si>
  <si>
    <t>more accurate df and 1-tail p for 2 sample t-test</t>
  </si>
  <si>
    <t>independent2sample</t>
  </si>
  <si>
    <t>INDEPENDENT SAMPLES, complete a test on the difference between 2 means</t>
  </si>
  <si>
    <t>dependent2sample</t>
  </si>
  <si>
    <t>PAIRED SAMPLES, create a difference distribution</t>
  </si>
  <si>
    <t>sum of Ds is</t>
  </si>
  <si>
    <t>mean of Ds is</t>
  </si>
  <si>
    <t xml:space="preserve"> - </t>
  </si>
  <si>
    <t>(</t>
  </si>
  <si>
    <t>)</t>
  </si>
  <si>
    <t>-  (</t>
  </si>
  <si>
    <r>
      <rPr>
        <b/>
        <sz val="12"/>
        <rFont val="Arial"/>
        <family val="2"/>
      </rPr>
      <t>)</t>
    </r>
    <r>
      <rPr>
        <b/>
        <vertAlign val="superscript"/>
        <sz val="12"/>
        <rFont val="Arial"/>
        <family val="2"/>
      </rPr>
      <t>2</t>
    </r>
  </si>
  <si>
    <r>
      <t>x</t>
    </r>
    <r>
      <rPr>
        <b/>
        <vertAlign val="subscript"/>
        <sz val="12"/>
        <rFont val="Arial"/>
        <family val="2"/>
      </rPr>
      <t>1</t>
    </r>
  </si>
  <si>
    <r>
      <t>x</t>
    </r>
    <r>
      <rPr>
        <b/>
        <vertAlign val="subscript"/>
        <sz val="12"/>
        <rFont val="Arial"/>
        <family val="2"/>
      </rPr>
      <t>2</t>
    </r>
  </si>
  <si>
    <r>
      <t>D = x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- x</t>
    </r>
    <r>
      <rPr>
        <b/>
        <vertAlign val="subscript"/>
        <sz val="12"/>
        <rFont val="Arial"/>
        <family val="2"/>
      </rPr>
      <t>2</t>
    </r>
  </si>
  <si>
    <r>
      <t>D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= (x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- x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)</t>
    </r>
    <r>
      <rPr>
        <b/>
        <vertAlign val="superscript"/>
        <sz val="12"/>
        <rFont val="Arial"/>
        <family val="2"/>
      </rPr>
      <t>2</t>
    </r>
  </si>
  <si>
    <r>
      <t>sum of D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s is</t>
    </r>
  </si>
  <si>
    <t>t  =</t>
  </si>
  <si>
    <t>on one-tail</t>
  </si>
  <si>
    <t>stdev of D is</t>
  </si>
  <si>
    <t>t is</t>
  </si>
  <si>
    <t>pi 2tail is</t>
  </si>
  <si>
    <t>The degrees of freedom between the two methods are equal when rounded to 1 decimal place.</t>
  </si>
  <si>
    <r>
      <t>TI84 does a weighted degrees of freedom, not (smaller of n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-1 and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-1).</t>
    </r>
  </si>
  <si>
    <t>2proportions</t>
  </si>
  <si>
    <t>compare 2 proportions</t>
  </si>
  <si>
    <t>sample1</t>
  </si>
  <si>
    <t>sample2</t>
  </si>
  <si>
    <t>x is</t>
  </si>
  <si>
    <t>(x1+x2)/(n1+n2)</t>
  </si>
  <si>
    <t>standard error is</t>
  </si>
  <si>
    <t>sqrt(pbar*qbar*(1/n1+1/n2))</t>
  </si>
  <si>
    <t>z is</t>
  </si>
  <si>
    <t>is</t>
  </si>
  <si>
    <t>weighted estimate of population proportion, pbar, is</t>
  </si>
  <si>
    <t xml:space="preserve"> -</t>
  </si>
  <si>
    <t>difference in sample proportions</t>
  </si>
  <si>
    <t>difference in population proportions</t>
  </si>
  <si>
    <t>see null hypothesis</t>
  </si>
  <si>
    <t>populations</t>
  </si>
  <si>
    <t>sample proportion, p hat, is xi/ni</t>
  </si>
  <si>
    <t>qbar is 1-pbar</t>
  </si>
  <si>
    <t>correlation coefficient</t>
  </si>
  <si>
    <t>cmplete a T-test on the strength of a linear correlation</t>
  </si>
  <si>
    <t>y</t>
  </si>
  <si>
    <t>xy</t>
  </si>
  <si>
    <r>
      <t>x</t>
    </r>
    <r>
      <rPr>
        <b/>
        <vertAlign val="superscript"/>
        <sz val="12"/>
        <rFont val="Arial"/>
        <family val="2"/>
      </rPr>
      <t>2</t>
    </r>
  </si>
  <si>
    <r>
      <t>y</t>
    </r>
    <r>
      <rPr>
        <b/>
        <vertAlign val="superscript"/>
        <sz val="12"/>
        <rFont val="Arial"/>
        <family val="2"/>
      </rPr>
      <t>2</t>
    </r>
  </si>
  <si>
    <t>Sums</t>
  </si>
  <si>
    <t>•</t>
  </si>
  <si>
    <t>sum(xy)</t>
  </si>
  <si>
    <t>sum(x)</t>
  </si>
  <si>
    <t>sum(y)</t>
  </si>
  <si>
    <t>[</t>
  </si>
  <si>
    <r>
      <t>]</t>
    </r>
    <r>
      <rPr>
        <sz val="12"/>
        <rFont val="Calibri"/>
        <family val="2"/>
      </rPr>
      <t>•</t>
    </r>
    <r>
      <rPr>
        <sz val="12"/>
        <rFont val="Arial"/>
        <family val="2"/>
      </rPr>
      <t>[</t>
    </r>
  </si>
  <si>
    <t>]</t>
  </si>
  <si>
    <t>sum(x^2)</t>
  </si>
  <si>
    <t>sq(sum(x))</t>
  </si>
  <si>
    <t>sum(y^2)</t>
  </si>
  <si>
    <t>sq(sum(y))</t>
  </si>
  <si>
    <t>r =</t>
  </si>
  <si>
    <t>t =</t>
  </si>
  <si>
    <t xml:space="preserve">1 - </t>
  </si>
  <si>
    <t>r^2</t>
  </si>
  <si>
    <t xml:space="preserve"> - 2</t>
  </si>
  <si>
    <t>r</t>
  </si>
  <si>
    <t>on 2-tail</t>
  </si>
  <si>
    <r>
      <t>%r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=</t>
    </r>
  </si>
  <si>
    <t>%</t>
  </si>
  <si>
    <t>GROUPS/PREFERENCE</t>
  </si>
  <si>
    <t>perference1</t>
  </si>
  <si>
    <t>preference2</t>
  </si>
  <si>
    <t>preference3</t>
  </si>
  <si>
    <t>total pref</t>
  </si>
  <si>
    <t>total group</t>
  </si>
  <si>
    <t>THESE MUST BE =.</t>
  </si>
  <si>
    <t>d.f.= ((columns)-1)((rows)-1)</t>
  </si>
  <si>
    <t>rows</t>
  </si>
  <si>
    <t>columns</t>
  </si>
  <si>
    <t>rows of groups, columns of preferences</t>
  </si>
  <si>
    <t>EXPECTED PROPORTIONS TABLE</t>
  </si>
  <si>
    <t>groupSUM</t>
  </si>
  <si>
    <t>preferencesSUM</t>
  </si>
  <si>
    <t>GRANDTOTAL</t>
  </si>
  <si>
    <t>CHI SQUARE COMPUTATION TABLE</t>
  </si>
  <si>
    <t>sorted by R,C</t>
  </si>
  <si>
    <t>1,1</t>
  </si>
  <si>
    <t>1,2</t>
  </si>
  <si>
    <t>1,3</t>
  </si>
  <si>
    <t>2,2</t>
  </si>
  <si>
    <t>2,3</t>
  </si>
  <si>
    <t>3,1</t>
  </si>
  <si>
    <t>3,2</t>
  </si>
  <si>
    <t>3,3</t>
  </si>
  <si>
    <t>OBSERVED</t>
  </si>
  <si>
    <t>EXPECTED</t>
  </si>
  <si>
    <t>CONTINGENCY TABLE</t>
  </si>
  <si>
    <t>(O-E)</t>
  </si>
  <si>
    <t>preteens</t>
  </si>
  <si>
    <t>teens</t>
  </si>
  <si>
    <t>college kids</t>
  </si>
  <si>
    <t>subgroup1</t>
  </si>
  <si>
    <t>subgroup2</t>
  </si>
  <si>
    <t>subgroup3</t>
  </si>
  <si>
    <t>CHIDIST is</t>
  </si>
  <si>
    <t>CHIVNV is</t>
  </si>
  <si>
    <t>CHITEST is</t>
  </si>
  <si>
    <t>is p</t>
  </si>
  <si>
    <t>is chi squared</t>
  </si>
  <si>
    <t>is p computed using the observed and expected cells of table</t>
  </si>
  <si>
    <t>indep &amp; homogeneity of proportion</t>
  </si>
  <si>
    <t>complete chi square test of independence of proportion or homogeneity of proportions</t>
  </si>
  <si>
    <r>
      <t>E</t>
    </r>
    <r>
      <rPr>
        <b/>
        <vertAlign val="subscript"/>
        <sz val="10"/>
        <rFont val="Arial"/>
        <family val="2"/>
      </rPr>
      <t>r,c</t>
    </r>
    <r>
      <rPr>
        <b/>
        <sz val="10"/>
        <rFont val="Arial"/>
        <family val="2"/>
      </rPr>
      <t>= (rowSUM)*(columnSUM)/(GRANDTOTAL)</t>
    </r>
  </si>
  <si>
    <r>
      <t>E</t>
    </r>
    <r>
      <rPr>
        <vertAlign val="subscript"/>
        <sz val="10"/>
        <rFont val="Arial"/>
        <family val="2"/>
      </rPr>
      <t>r,c</t>
    </r>
    <r>
      <rPr>
        <sz val="10"/>
        <rFont val="Arial"/>
        <family val="2"/>
      </rPr>
      <t>= (rowSUM)*(columnSUM)/(GRANDTOTAL)</t>
    </r>
  </si>
  <si>
    <t>6.5 to 8 hours</t>
  </si>
  <si>
    <t>4 to 6.5 hours</t>
  </si>
  <si>
    <t>8 to 10.5 hrs.</t>
  </si>
  <si>
    <t>ANOVA</t>
  </si>
  <si>
    <t>complete an Analysis of Variance test to see if 3 or more means are equal</t>
  </si>
  <si>
    <t>group1</t>
  </si>
  <si>
    <t>group2</t>
  </si>
  <si>
    <t>group3</t>
  </si>
  <si>
    <t>group4</t>
  </si>
  <si>
    <t>(mean-GM)</t>
  </si>
  <si>
    <t>n-1</t>
  </si>
  <si>
    <t>sum(x) is</t>
  </si>
  <si>
    <t>k-1</t>
  </si>
  <si>
    <t>N-k</t>
  </si>
  <si>
    <t>Source</t>
  </si>
  <si>
    <t>sum of squares</t>
  </si>
  <si>
    <t>F</t>
  </si>
  <si>
    <t>between</t>
  </si>
  <si>
    <t>SSB</t>
  </si>
  <si>
    <t>within (error)</t>
  </si>
  <si>
    <t>SSW</t>
  </si>
  <si>
    <t>MSB is SSB/(k-1)</t>
  </si>
  <si>
    <t>MSW is SSW/(N-k)</t>
  </si>
  <si>
    <t xml:space="preserve"> is MSB</t>
  </si>
  <si>
    <t xml:space="preserve"> is MSW</t>
  </si>
  <si>
    <t xml:space="preserve"> is MSB/MSW</t>
  </si>
  <si>
    <t>&gt;&gt;</t>
  </si>
  <si>
    <t>is SSB/(k-1)</t>
  </si>
  <si>
    <t>is SSW/(N-k)</t>
  </si>
  <si>
    <t>MSB/MSW is</t>
  </si>
  <si>
    <t xml:space="preserve"> is Ftest</t>
  </si>
  <si>
    <t>mean squares</t>
  </si>
  <si>
    <t xml:space="preserve"> k is no of groups is</t>
  </si>
  <si>
    <t>N is sum of n is</t>
  </si>
  <si>
    <t>SSB is sum of n(mean-GM)^2 is</t>
  </si>
  <si>
    <t>SSW is sum of 9N-1(s^2) is</t>
  </si>
  <si>
    <t>d.f.numerator is k - 1  is</t>
  </si>
  <si>
    <t xml:space="preserve">d.f.denominator is N - k is </t>
  </si>
  <si>
    <t>SSW is sum of (n-1)(s^2) is</t>
  </si>
  <si>
    <t xml:space="preserve">CV  with alpha = .05 is  </t>
  </si>
  <si>
    <t xml:space="preserve">CV with alpha = .05 is  </t>
  </si>
  <si>
    <r>
      <t>(mean-GM)</t>
    </r>
    <r>
      <rPr>
        <b/>
        <vertAlign val="superscript"/>
        <sz val="10"/>
        <rFont val="Arial"/>
        <family val="2"/>
      </rPr>
      <t>2</t>
    </r>
  </si>
  <si>
    <r>
      <t>n(mean-GM)</t>
    </r>
    <r>
      <rPr>
        <b/>
        <vertAlign val="superscript"/>
        <sz val="10"/>
        <rFont val="Arial"/>
        <family val="2"/>
      </rPr>
      <t>2</t>
    </r>
  </si>
  <si>
    <r>
      <t>(n-1)s</t>
    </r>
    <r>
      <rPr>
        <b/>
        <vertAlign val="superscript"/>
        <sz val="10"/>
        <rFont val="Arial"/>
        <family val="2"/>
      </rPr>
      <t>2</t>
    </r>
  </si>
  <si>
    <t>sum of the (n-1) is</t>
  </si>
  <si>
    <t>Anova: Single Factor</t>
  </si>
  <si>
    <t>SUMMARY</t>
  </si>
  <si>
    <t>Groups</t>
  </si>
  <si>
    <t>Count</t>
  </si>
  <si>
    <t>Sum</t>
  </si>
  <si>
    <t>Average</t>
  </si>
  <si>
    <t>Variance</t>
  </si>
  <si>
    <t>Column 1</t>
  </si>
  <si>
    <t>Column 2</t>
  </si>
  <si>
    <t>Column 3</t>
  </si>
  <si>
    <t>Column 4</t>
  </si>
  <si>
    <t>Source of Variation</t>
  </si>
  <si>
    <t>SS</t>
  </si>
  <si>
    <t>df</t>
  </si>
  <si>
    <t>MS</t>
  </si>
  <si>
    <t>P-value</t>
  </si>
  <si>
    <t>F crit</t>
  </si>
  <si>
    <t>Between Groups</t>
  </si>
  <si>
    <t>Within Groups</t>
  </si>
  <si>
    <t>Total</t>
  </si>
  <si>
    <t>Analysis of Variance</t>
  </si>
  <si>
    <r>
      <t>Scheff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 xml:space="preserve"> Test to Find Where the Difference is in the Means</t>
    </r>
  </si>
  <si>
    <t>F Critical</t>
  </si>
  <si>
    <t>(mean1-mean2)</t>
  </si>
  <si>
    <t>(mean1-mean2)^2</t>
  </si>
  <si>
    <t>(1/n1 + 1/n2)</t>
  </si>
  <si>
    <t xml:space="preserve">F Test </t>
  </si>
  <si>
    <t>Amount1</t>
  </si>
  <si>
    <t>Probability1</t>
  </si>
  <si>
    <t>Probability2</t>
  </si>
  <si>
    <t>Amount2</t>
  </si>
  <si>
    <t>Probability3</t>
  </si>
  <si>
    <t>Amount3</t>
  </si>
  <si>
    <t>Probability4</t>
  </si>
  <si>
    <t>Amount4</t>
  </si>
  <si>
    <t>Probability5</t>
  </si>
  <si>
    <t>Amount5</t>
  </si>
  <si>
    <t xml:space="preserve">E= </t>
  </si>
  <si>
    <t xml:space="preserve"> + </t>
  </si>
  <si>
    <t>E =</t>
  </si>
  <si>
    <r>
      <t>E = P(event1)</t>
    </r>
    <r>
      <rPr>
        <b/>
        <sz val="12"/>
        <rFont val="Calibri"/>
        <family val="2"/>
      </rPr>
      <t>•</t>
    </r>
    <r>
      <rPr>
        <b/>
        <sz val="12"/>
        <rFont val="Arial"/>
        <family val="2"/>
      </rPr>
      <t>Amount(event1) + P(event2)</t>
    </r>
    <r>
      <rPr>
        <b/>
        <sz val="12"/>
        <rFont val="Calibri"/>
        <family val="2"/>
      </rPr>
      <t>•</t>
    </r>
    <r>
      <rPr>
        <b/>
        <sz val="12"/>
        <rFont val="Arial"/>
        <family val="2"/>
      </rPr>
      <t>Amount(event2) + P(event3)</t>
    </r>
    <r>
      <rPr>
        <b/>
        <sz val="12"/>
        <rFont val="Calibri"/>
        <family val="2"/>
      </rPr>
      <t>•</t>
    </r>
    <r>
      <rPr>
        <b/>
        <sz val="12"/>
        <rFont val="Arial"/>
        <family val="2"/>
      </rPr>
      <t>Amount(event3) + P(event4)</t>
    </r>
    <r>
      <rPr>
        <b/>
        <sz val="12"/>
        <rFont val="Calibri"/>
        <family val="2"/>
      </rPr>
      <t>•</t>
    </r>
    <r>
      <rPr>
        <b/>
        <sz val="12"/>
        <rFont val="Arial"/>
        <family val="2"/>
      </rPr>
      <t>Amount(event4) +P(event5)</t>
    </r>
    <r>
      <rPr>
        <b/>
        <sz val="12"/>
        <rFont val="Calibri"/>
        <family val="2"/>
      </rPr>
      <t>•</t>
    </r>
    <r>
      <rPr>
        <b/>
        <sz val="12"/>
        <rFont val="Arial"/>
        <family val="2"/>
      </rPr>
      <t>Amount(event5) + … + P(eventlast)</t>
    </r>
    <r>
      <rPr>
        <b/>
        <sz val="12"/>
        <rFont val="Calibri"/>
        <family val="2"/>
      </rPr>
      <t>•</t>
    </r>
    <r>
      <rPr>
        <b/>
        <sz val="12"/>
        <rFont val="Arial"/>
        <family val="2"/>
      </rPr>
      <t>Amount(eventlast)</t>
    </r>
  </si>
  <si>
    <t>raffle</t>
  </si>
  <si>
    <t>cost of ticket</t>
  </si>
  <si>
    <t>top prize</t>
  </si>
  <si>
    <t>Amount</t>
  </si>
  <si>
    <t>next prize</t>
  </si>
  <si>
    <t>probability</t>
  </si>
  <si>
    <t>amount</t>
  </si>
  <si>
    <t># tickets sold</t>
  </si>
  <si>
    <t># of prizes</t>
  </si>
  <si>
    <t>lose</t>
  </si>
  <si>
    <t>$ of ticket</t>
  </si>
  <si>
    <t>1 ticket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</si>
</sst>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000"/>
    <numFmt numFmtId="176" formatCode="0.00000000"/>
    <numFmt numFmtId="177" formatCode="0.0000000000"/>
  </numFmts>
  <fonts count="8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6"/>
      <name val="Arial"/>
      <family val="0"/>
    </font>
    <font>
      <b/>
      <sz val="12"/>
      <color indexed="9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9"/>
      <name val="Calibri"/>
      <family val="2"/>
    </font>
    <font>
      <b/>
      <sz val="9"/>
      <name val="Calibri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b/>
      <sz val="7.2"/>
      <name val="Arial"/>
      <family val="2"/>
    </font>
    <font>
      <sz val="14"/>
      <name val="Arial"/>
      <family val="2"/>
    </font>
    <font>
      <vertAlign val="subscript"/>
      <sz val="10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vertAlign val="superscript"/>
      <sz val="10"/>
      <name val="Arial"/>
      <family val="2"/>
    </font>
    <font>
      <b/>
      <sz val="10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13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sz val="12"/>
      <color indexed="62"/>
      <name val="Tahoma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FF0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0"/>
      <color rgb="FFFFFF00"/>
      <name val="Arial"/>
      <family val="2"/>
    </font>
    <font>
      <b/>
      <sz val="10"/>
      <color rgb="FFFF0000"/>
      <name val="Arial"/>
      <family val="2"/>
    </font>
    <font>
      <sz val="12"/>
      <color rgb="FF183061"/>
      <name val="Tahoma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559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6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37" borderId="0" xfId="0" applyFont="1" applyFill="1" applyAlignment="1">
      <alignment/>
    </xf>
    <xf numFmtId="0" fontId="9" fillId="38" borderId="0" xfId="0" applyFont="1" applyFill="1" applyAlignment="1">
      <alignment/>
    </xf>
    <xf numFmtId="0" fontId="9" fillId="34" borderId="10" xfId="0" applyFont="1" applyFill="1" applyBorder="1" applyAlignment="1">
      <alignment/>
    </xf>
    <xf numFmtId="0" fontId="9" fillId="39" borderId="0" xfId="0" applyFont="1" applyFill="1" applyAlignment="1">
      <alignment/>
    </xf>
    <xf numFmtId="0" fontId="9" fillId="39" borderId="11" xfId="0" applyFont="1" applyFill="1" applyBorder="1" applyAlignment="1">
      <alignment/>
    </xf>
    <xf numFmtId="2" fontId="10" fillId="38" borderId="12" xfId="0" applyNumberFormat="1" applyFont="1" applyFill="1" applyBorder="1" applyAlignment="1">
      <alignment horizontal="center"/>
    </xf>
    <xf numFmtId="2" fontId="10" fillId="36" borderId="13" xfId="0" applyNumberFormat="1" applyFont="1" applyFill="1" applyBorder="1" applyAlignment="1">
      <alignment horizontal="center"/>
    </xf>
    <xf numFmtId="0" fontId="9" fillId="38" borderId="14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indent="1"/>
    </xf>
    <xf numFmtId="0" fontId="11" fillId="39" borderId="16" xfId="0" applyFont="1" applyFill="1" applyBorder="1" applyAlignment="1">
      <alignment/>
    </xf>
    <xf numFmtId="0" fontId="4" fillId="39" borderId="17" xfId="0" applyFont="1" applyFill="1" applyBorder="1" applyAlignment="1">
      <alignment/>
    </xf>
    <xf numFmtId="0" fontId="4" fillId="39" borderId="17" xfId="0" applyFont="1" applyFill="1" applyBorder="1" applyAlignment="1">
      <alignment horizontal="left"/>
    </xf>
    <xf numFmtId="0" fontId="4" fillId="39" borderId="18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9" fillId="40" borderId="0" xfId="0" applyFont="1" applyFill="1" applyAlignment="1">
      <alignment/>
    </xf>
    <xf numFmtId="0" fontId="9" fillId="40" borderId="10" xfId="0" applyFont="1" applyFill="1" applyBorder="1" applyAlignment="1">
      <alignment/>
    </xf>
    <xf numFmtId="0" fontId="9" fillId="40" borderId="0" xfId="0" applyFont="1" applyFill="1" applyBorder="1" applyAlignment="1">
      <alignment/>
    </xf>
    <xf numFmtId="0" fontId="0" fillId="40" borderId="0" xfId="0" applyFill="1" applyAlignment="1">
      <alignment/>
    </xf>
    <xf numFmtId="0" fontId="0" fillId="40" borderId="0" xfId="0" applyFill="1" applyBorder="1" applyAlignment="1">
      <alignment/>
    </xf>
    <xf numFmtId="0" fontId="9" fillId="36" borderId="0" xfId="0" applyFont="1" applyFill="1" applyBorder="1" applyAlignment="1">
      <alignment horizontal="right"/>
    </xf>
    <xf numFmtId="0" fontId="9" fillId="36" borderId="0" xfId="0" applyFont="1" applyFill="1" applyBorder="1" applyAlignment="1">
      <alignment horizontal="center"/>
    </xf>
    <xf numFmtId="0" fontId="9" fillId="41" borderId="11" xfId="0" applyFont="1" applyFill="1" applyBorder="1" applyAlignment="1">
      <alignment horizontal="right"/>
    </xf>
    <xf numFmtId="0" fontId="9" fillId="40" borderId="10" xfId="0" applyFont="1" applyFill="1" applyBorder="1" applyAlignment="1">
      <alignment horizontal="center"/>
    </xf>
    <xf numFmtId="0" fontId="0" fillId="38" borderId="16" xfId="0" applyFill="1" applyBorder="1" applyAlignment="1">
      <alignment horizontal="right"/>
    </xf>
    <xf numFmtId="2" fontId="10" fillId="38" borderId="18" xfId="0" applyNumberFormat="1" applyFont="1" applyFill="1" applyBorder="1" applyAlignment="1">
      <alignment horizontal="center"/>
    </xf>
    <xf numFmtId="0" fontId="9" fillId="38" borderId="17" xfId="0" applyFont="1" applyFill="1" applyBorder="1" applyAlignment="1">
      <alignment/>
    </xf>
    <xf numFmtId="0" fontId="9" fillId="42" borderId="0" xfId="0" applyFont="1" applyFill="1" applyBorder="1" applyAlignment="1">
      <alignment/>
    </xf>
    <xf numFmtId="0" fontId="9" fillId="40" borderId="14" xfId="0" applyFont="1" applyFill="1" applyBorder="1" applyAlignment="1">
      <alignment/>
    </xf>
    <xf numFmtId="0" fontId="9" fillId="40" borderId="19" xfId="0" applyFont="1" applyFill="1" applyBorder="1" applyAlignment="1">
      <alignment/>
    </xf>
    <xf numFmtId="0" fontId="9" fillId="40" borderId="20" xfId="0" applyFont="1" applyFill="1" applyBorder="1" applyAlignment="1">
      <alignment/>
    </xf>
    <xf numFmtId="0" fontId="9" fillId="40" borderId="21" xfId="0" applyFont="1" applyFill="1" applyBorder="1" applyAlignment="1">
      <alignment/>
    </xf>
    <xf numFmtId="0" fontId="9" fillId="42" borderId="21" xfId="0" applyFont="1" applyFill="1" applyBorder="1" applyAlignment="1">
      <alignment horizontal="right"/>
    </xf>
    <xf numFmtId="0" fontId="9" fillId="39" borderId="12" xfId="0" applyFont="1" applyFill="1" applyBorder="1" applyAlignment="1">
      <alignment horizontal="right"/>
    </xf>
    <xf numFmtId="0" fontId="4" fillId="40" borderId="0" xfId="0" applyFont="1" applyFill="1" applyAlignment="1">
      <alignment/>
    </xf>
    <xf numFmtId="0" fontId="4" fillId="40" borderId="0" xfId="0" applyFont="1" applyFill="1" applyBorder="1" applyAlignment="1">
      <alignment/>
    </xf>
    <xf numFmtId="2" fontId="4" fillId="40" borderId="0" xfId="0" applyNumberFormat="1" applyFont="1" applyFill="1" applyBorder="1" applyAlignment="1">
      <alignment/>
    </xf>
    <xf numFmtId="2" fontId="4" fillId="40" borderId="12" xfId="0" applyNumberFormat="1" applyFont="1" applyFill="1" applyBorder="1" applyAlignment="1">
      <alignment horizontal="center"/>
    </xf>
    <xf numFmtId="2" fontId="4" fillId="40" borderId="13" xfId="0" applyNumberFormat="1" applyFont="1" applyFill="1" applyBorder="1" applyAlignment="1">
      <alignment horizontal="center"/>
    </xf>
    <xf numFmtId="2" fontId="4" fillId="40" borderId="0" xfId="0" applyNumberFormat="1" applyFont="1" applyFill="1" applyBorder="1" applyAlignment="1">
      <alignment horizontal="center"/>
    </xf>
    <xf numFmtId="0" fontId="4" fillId="40" borderId="0" xfId="0" applyFont="1" applyFill="1" applyBorder="1" applyAlignment="1">
      <alignment horizontal="center"/>
    </xf>
    <xf numFmtId="0" fontId="4" fillId="40" borderId="22" xfId="0" applyFont="1" applyFill="1" applyBorder="1" applyAlignment="1">
      <alignment/>
    </xf>
    <xf numFmtId="0" fontId="4" fillId="40" borderId="16" xfId="0" applyFont="1" applyFill="1" applyBorder="1" applyAlignment="1">
      <alignment horizontal="center"/>
    </xf>
    <xf numFmtId="0" fontId="4" fillId="40" borderId="23" xfId="0" applyFont="1" applyFill="1" applyBorder="1" applyAlignment="1">
      <alignment horizontal="center"/>
    </xf>
    <xf numFmtId="0" fontId="4" fillId="40" borderId="23" xfId="0" applyFont="1" applyFill="1" applyBorder="1" applyAlignment="1">
      <alignment/>
    </xf>
    <xf numFmtId="2" fontId="4" fillId="38" borderId="13" xfId="0" applyNumberFormat="1" applyFont="1" applyFill="1" applyBorder="1" applyAlignment="1">
      <alignment/>
    </xf>
    <xf numFmtId="0" fontId="4" fillId="40" borderId="24" xfId="0" applyFont="1" applyFill="1" applyBorder="1" applyAlignment="1">
      <alignment horizontal="center"/>
    </xf>
    <xf numFmtId="0" fontId="9" fillId="40" borderId="25" xfId="0" applyFont="1" applyFill="1" applyBorder="1" applyAlignment="1">
      <alignment horizontal="center"/>
    </xf>
    <xf numFmtId="0" fontId="9" fillId="40" borderId="26" xfId="0" applyFont="1" applyFill="1" applyBorder="1" applyAlignment="1">
      <alignment horizontal="left"/>
    </xf>
    <xf numFmtId="2" fontId="10" fillId="42" borderId="26" xfId="0" applyNumberFormat="1" applyFont="1" applyFill="1" applyBorder="1" applyAlignment="1">
      <alignment horizontal="left"/>
    </xf>
    <xf numFmtId="2" fontId="10" fillId="39" borderId="27" xfId="0" applyNumberFormat="1" applyFont="1" applyFill="1" applyBorder="1" applyAlignment="1">
      <alignment horizontal="left"/>
    </xf>
    <xf numFmtId="0" fontId="9" fillId="42" borderId="28" xfId="0" applyFont="1" applyFill="1" applyBorder="1" applyAlignment="1">
      <alignment horizontal="right"/>
    </xf>
    <xf numFmtId="0" fontId="9" fillId="42" borderId="29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9" fillId="38" borderId="0" xfId="0" applyFont="1" applyFill="1" applyAlignment="1">
      <alignment horizontal="center"/>
    </xf>
    <xf numFmtId="0" fontId="9" fillId="36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9" xfId="0" applyFill="1" applyBorder="1" applyAlignment="1">
      <alignment/>
    </xf>
    <xf numFmtId="0" fontId="0" fillId="40" borderId="20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27" xfId="0" applyFill="1" applyBorder="1" applyAlignment="1">
      <alignment/>
    </xf>
    <xf numFmtId="0" fontId="0" fillId="40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3" fillId="40" borderId="0" xfId="0" applyFont="1" applyFill="1" applyAlignment="1">
      <alignment/>
    </xf>
    <xf numFmtId="0" fontId="13" fillId="40" borderId="19" xfId="0" applyFont="1" applyFill="1" applyBorder="1" applyAlignment="1">
      <alignment/>
    </xf>
    <xf numFmtId="0" fontId="0" fillId="40" borderId="21" xfId="0" applyFill="1" applyBorder="1" applyAlignment="1">
      <alignment/>
    </xf>
    <xf numFmtId="0" fontId="0" fillId="40" borderId="26" xfId="0" applyFill="1" applyBorder="1" applyAlignment="1">
      <alignment/>
    </xf>
    <xf numFmtId="0" fontId="0" fillId="33" borderId="0" xfId="0" applyFill="1" applyAlignment="1">
      <alignment/>
    </xf>
    <xf numFmtId="0" fontId="0" fillId="40" borderId="30" xfId="0" applyFill="1" applyBorder="1" applyAlignment="1">
      <alignment horizontal="center"/>
    </xf>
    <xf numFmtId="0" fontId="0" fillId="39" borderId="30" xfId="0" applyFill="1" applyBorder="1" applyAlignment="1">
      <alignment horizontal="center"/>
    </xf>
    <xf numFmtId="0" fontId="4" fillId="0" borderId="0" xfId="0" applyFont="1" applyFill="1" applyAlignment="1">
      <alignment/>
    </xf>
    <xf numFmtId="2" fontId="4" fillId="38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38" borderId="13" xfId="0" applyNumberFormat="1" applyFont="1" applyFill="1" applyBorder="1" applyAlignment="1">
      <alignment horizontal="center"/>
    </xf>
    <xf numFmtId="0" fontId="4" fillId="40" borderId="16" xfId="0" applyFont="1" applyFill="1" applyBorder="1" applyAlignment="1">
      <alignment/>
    </xf>
    <xf numFmtId="0" fontId="3" fillId="39" borderId="17" xfId="0" applyFont="1" applyFill="1" applyBorder="1" applyAlignment="1">
      <alignment/>
    </xf>
    <xf numFmtId="0" fontId="6" fillId="39" borderId="18" xfId="0" applyFont="1" applyFill="1" applyBorder="1" applyAlignment="1">
      <alignment horizontal="left" indent="1"/>
    </xf>
    <xf numFmtId="0" fontId="9" fillId="33" borderId="0" xfId="0" applyFont="1" applyFill="1" applyBorder="1" applyAlignment="1">
      <alignment/>
    </xf>
    <xf numFmtId="2" fontId="11" fillId="33" borderId="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41" borderId="11" xfId="0" applyFont="1" applyFill="1" applyBorder="1" applyAlignment="1">
      <alignment horizontal="center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8" borderId="16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4" fillId="38" borderId="18" xfId="0" applyFont="1" applyFill="1" applyBorder="1" applyAlignment="1">
      <alignment/>
    </xf>
    <xf numFmtId="0" fontId="3" fillId="38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4" borderId="0" xfId="0" applyFont="1" applyFill="1" applyAlignment="1">
      <alignment/>
    </xf>
    <xf numFmtId="2" fontId="9" fillId="34" borderId="10" xfId="0" applyNumberFormat="1" applyFont="1" applyFill="1" applyBorder="1" applyAlignment="1">
      <alignment/>
    </xf>
    <xf numFmtId="0" fontId="9" fillId="39" borderId="0" xfId="0" applyFont="1" applyFill="1" applyAlignment="1">
      <alignment horizontal="center"/>
    </xf>
    <xf numFmtId="0" fontId="8" fillId="39" borderId="10" xfId="0" applyFont="1" applyFill="1" applyBorder="1" applyAlignment="1">
      <alignment/>
    </xf>
    <xf numFmtId="0" fontId="9" fillId="39" borderId="10" xfId="0" applyFont="1" applyFill="1" applyBorder="1" applyAlignment="1">
      <alignment/>
    </xf>
    <xf numFmtId="0" fontId="3" fillId="39" borderId="0" xfId="0" applyFont="1" applyFill="1" applyAlignment="1">
      <alignment/>
    </xf>
    <xf numFmtId="0" fontId="3" fillId="37" borderId="0" xfId="0" applyFont="1" applyFill="1" applyAlignment="1">
      <alignment/>
    </xf>
    <xf numFmtId="0" fontId="0" fillId="33" borderId="14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6" xfId="0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7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0" fontId="4" fillId="38" borderId="23" xfId="0" applyFont="1" applyFill="1" applyBorder="1" applyAlignment="1">
      <alignment/>
    </xf>
    <xf numFmtId="0" fontId="4" fillId="38" borderId="23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2" fontId="4" fillId="33" borderId="0" xfId="0" applyNumberFormat="1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40" borderId="22" xfId="0" applyFont="1" applyFill="1" applyBorder="1" applyAlignment="1">
      <alignment horizontal="center"/>
    </xf>
    <xf numFmtId="0" fontId="4" fillId="40" borderId="13" xfId="0" applyFont="1" applyFill="1" applyBorder="1" applyAlignment="1">
      <alignment horizontal="center"/>
    </xf>
    <xf numFmtId="164" fontId="4" fillId="38" borderId="1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168" fontId="8" fillId="0" borderId="10" xfId="0" applyNumberFormat="1" applyFont="1" applyBorder="1" applyAlignment="1">
      <alignment horizontal="center"/>
    </xf>
    <xf numFmtId="0" fontId="0" fillId="43" borderId="0" xfId="0" applyFill="1" applyAlignment="1">
      <alignment/>
    </xf>
    <xf numFmtId="0" fontId="0" fillId="43" borderId="0" xfId="0" applyFont="1" applyFill="1" applyAlignment="1">
      <alignment/>
    </xf>
    <xf numFmtId="0" fontId="3" fillId="43" borderId="0" xfId="0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0" fontId="3" fillId="44" borderId="30" xfId="0" applyFont="1" applyFill="1" applyBorder="1" applyAlignment="1">
      <alignment horizontal="center"/>
    </xf>
    <xf numFmtId="0" fontId="15" fillId="44" borderId="10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11" borderId="11" xfId="0" applyFill="1" applyBorder="1" applyAlignment="1">
      <alignment horizontal="center"/>
    </xf>
    <xf numFmtId="164" fontId="0" fillId="11" borderId="0" xfId="0" applyNumberFormat="1" applyFill="1" applyAlignment="1">
      <alignment horizontal="center"/>
    </xf>
    <xf numFmtId="164" fontId="0" fillId="11" borderId="11" xfId="0" applyNumberForma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17" fillId="45" borderId="32" xfId="0" applyFont="1" applyFill="1" applyBorder="1" applyAlignment="1">
      <alignment horizontal="center" vertical="center" wrapText="1"/>
    </xf>
    <xf numFmtId="0" fontId="16" fillId="45" borderId="32" xfId="0" applyFont="1" applyFill="1" applyBorder="1" applyAlignment="1">
      <alignment horizontal="center" wrapText="1"/>
    </xf>
    <xf numFmtId="0" fontId="16" fillId="45" borderId="32" xfId="0" applyFont="1" applyFill="1" applyBorder="1" applyAlignment="1">
      <alignment wrapText="1"/>
    </xf>
    <xf numFmtId="0" fontId="16" fillId="45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44" borderId="0" xfId="0" applyFill="1" applyAlignment="1">
      <alignment/>
    </xf>
    <xf numFmtId="0" fontId="18" fillId="45" borderId="32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0" fillId="46" borderId="0" xfId="0" applyFill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44" borderId="10" xfId="0" applyFill="1" applyBorder="1" applyAlignment="1">
      <alignment/>
    </xf>
    <xf numFmtId="0" fontId="0" fillId="0" borderId="10" xfId="0" applyFill="1" applyBorder="1" applyAlignment="1">
      <alignment/>
    </xf>
    <xf numFmtId="0" fontId="9" fillId="10" borderId="0" xfId="0" applyFont="1" applyFill="1" applyBorder="1" applyAlignment="1">
      <alignment/>
    </xf>
    <xf numFmtId="0" fontId="9" fillId="10" borderId="0" xfId="0" applyFont="1" applyFill="1" applyBorder="1" applyAlignment="1">
      <alignment horizontal="right"/>
    </xf>
    <xf numFmtId="0" fontId="7" fillId="10" borderId="0" xfId="0" applyFont="1" applyFill="1" applyBorder="1" applyAlignment="1">
      <alignment/>
    </xf>
    <xf numFmtId="2" fontId="11" fillId="10" borderId="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10" borderId="0" xfId="0" applyFont="1" applyFill="1" applyBorder="1" applyAlignment="1">
      <alignment horizontal="center"/>
    </xf>
    <xf numFmtId="0" fontId="9" fillId="1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9" fillId="47" borderId="0" xfId="0" applyFont="1" applyFill="1" applyBorder="1" applyAlignment="1">
      <alignment horizontal="center"/>
    </xf>
    <xf numFmtId="0" fontId="9" fillId="48" borderId="0" xfId="0" applyFont="1" applyFill="1" applyBorder="1" applyAlignment="1">
      <alignment/>
    </xf>
    <xf numFmtId="0" fontId="9" fillId="10" borderId="0" xfId="0" applyFont="1" applyFill="1" applyBorder="1" applyAlignment="1">
      <alignment horizontal="left"/>
    </xf>
    <xf numFmtId="2" fontId="10" fillId="10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0" fillId="10" borderId="0" xfId="0" applyFill="1" applyAlignment="1">
      <alignment/>
    </xf>
    <xf numFmtId="0" fontId="14" fillId="10" borderId="0" xfId="0" applyFont="1" applyFill="1" applyBorder="1" applyAlignment="1">
      <alignment/>
    </xf>
    <xf numFmtId="0" fontId="0" fillId="47" borderId="0" xfId="0" applyFill="1" applyBorder="1" applyAlignment="1">
      <alignment/>
    </xf>
    <xf numFmtId="0" fontId="0" fillId="47" borderId="0" xfId="0" applyFont="1" applyFill="1" applyAlignment="1">
      <alignment/>
    </xf>
    <xf numFmtId="0" fontId="0" fillId="11" borderId="0" xfId="0" applyFill="1" applyBorder="1" applyAlignment="1">
      <alignment/>
    </xf>
    <xf numFmtId="0" fontId="0" fillId="11" borderId="0" xfId="0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ont="1" applyFill="1" applyBorder="1" applyAlignment="1">
      <alignment/>
    </xf>
    <xf numFmtId="0" fontId="3" fillId="10" borderId="0" xfId="0" applyFont="1" applyFill="1" applyAlignment="1">
      <alignment/>
    </xf>
    <xf numFmtId="0" fontId="3" fillId="47" borderId="0" xfId="0" applyFont="1" applyFill="1" applyAlignment="1">
      <alignment/>
    </xf>
    <xf numFmtId="0" fontId="3" fillId="10" borderId="0" xfId="0" applyFont="1" applyFill="1" applyAlignment="1">
      <alignment horizontal="right"/>
    </xf>
    <xf numFmtId="0" fontId="10" fillId="5" borderId="10" xfId="0" applyFont="1" applyFill="1" applyBorder="1" applyAlignment="1">
      <alignment horizontal="center"/>
    </xf>
    <xf numFmtId="0" fontId="3" fillId="47" borderId="0" xfId="0" applyFont="1" applyFill="1" applyAlignment="1">
      <alignment horizontal="right"/>
    </xf>
    <xf numFmtId="0" fontId="4" fillId="10" borderId="0" xfId="0" applyFont="1" applyFill="1" applyBorder="1" applyAlignment="1">
      <alignment/>
    </xf>
    <xf numFmtId="0" fontId="10" fillId="10" borderId="0" xfId="0" applyFont="1" applyFill="1" applyBorder="1" applyAlignment="1">
      <alignment/>
    </xf>
    <xf numFmtId="2" fontId="10" fillId="5" borderId="10" xfId="0" applyNumberFormat="1" applyFont="1" applyFill="1" applyBorder="1" applyAlignment="1">
      <alignment horizontal="center"/>
    </xf>
    <xf numFmtId="0" fontId="4" fillId="47" borderId="0" xfId="0" applyFont="1" applyFill="1" applyBorder="1" applyAlignment="1">
      <alignment/>
    </xf>
    <xf numFmtId="0" fontId="10" fillId="47" borderId="0" xfId="0" applyFont="1" applyFill="1" applyBorder="1" applyAlignment="1">
      <alignment/>
    </xf>
    <xf numFmtId="0" fontId="3" fillId="10" borderId="0" xfId="0" applyFont="1" applyFill="1" applyBorder="1" applyAlignment="1">
      <alignment/>
    </xf>
    <xf numFmtId="0" fontId="10" fillId="10" borderId="0" xfId="0" applyFont="1" applyFill="1" applyBorder="1" applyAlignment="1">
      <alignment horizontal="center"/>
    </xf>
    <xf numFmtId="0" fontId="3" fillId="47" borderId="0" xfId="0" applyFont="1" applyFill="1" applyBorder="1" applyAlignment="1">
      <alignment/>
    </xf>
    <xf numFmtId="0" fontId="10" fillId="47" borderId="0" xfId="0" applyFont="1" applyFill="1" applyBorder="1" applyAlignment="1">
      <alignment horizontal="center"/>
    </xf>
    <xf numFmtId="0" fontId="10" fillId="40" borderId="10" xfId="0" applyFont="1" applyFill="1" applyBorder="1" applyAlignment="1">
      <alignment horizontal="center"/>
    </xf>
    <xf numFmtId="0" fontId="10" fillId="44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0" fillId="9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8" fontId="10" fillId="9" borderId="10" xfId="0" applyNumberFormat="1" applyFont="1" applyFill="1" applyBorder="1" applyAlignment="1">
      <alignment horizontal="center"/>
    </xf>
    <xf numFmtId="0" fontId="10" fillId="47" borderId="0" xfId="0" applyFont="1" applyFill="1" applyBorder="1" applyAlignment="1">
      <alignment horizontal="left"/>
    </xf>
    <xf numFmtId="0" fontId="10" fillId="10" borderId="0" xfId="0" applyFont="1" applyFill="1" applyBorder="1" applyAlignment="1">
      <alignment horizontal="right"/>
    </xf>
    <xf numFmtId="0" fontId="10" fillId="47" borderId="0" xfId="0" applyFont="1" applyFill="1" applyBorder="1" applyAlignment="1">
      <alignment horizontal="right"/>
    </xf>
    <xf numFmtId="0" fontId="10" fillId="11" borderId="0" xfId="0" applyFont="1" applyFill="1" applyBorder="1" applyAlignment="1">
      <alignment/>
    </xf>
    <xf numFmtId="0" fontId="10" fillId="11" borderId="0" xfId="0" applyFont="1" applyFill="1" applyBorder="1" applyAlignment="1">
      <alignment horizontal="center"/>
    </xf>
    <xf numFmtId="0" fontId="3" fillId="11" borderId="0" xfId="0" applyFont="1" applyFill="1" applyBorder="1" applyAlignment="1">
      <alignment/>
    </xf>
    <xf numFmtId="0" fontId="10" fillId="11" borderId="0" xfId="0" applyFont="1" applyFill="1" applyBorder="1" applyAlignment="1">
      <alignment horizontal="right"/>
    </xf>
    <xf numFmtId="0" fontId="3" fillId="11" borderId="0" xfId="0" applyFont="1" applyFill="1" applyAlignment="1">
      <alignment/>
    </xf>
    <xf numFmtId="0" fontId="10" fillId="11" borderId="0" xfId="0" applyFont="1" applyFill="1" applyBorder="1" applyAlignment="1">
      <alignment horizontal="left"/>
    </xf>
    <xf numFmtId="0" fontId="3" fillId="44" borderId="0" xfId="0" applyFont="1" applyFill="1" applyAlignment="1">
      <alignment/>
    </xf>
    <xf numFmtId="0" fontId="10" fillId="10" borderId="0" xfId="0" applyFont="1" applyFill="1" applyBorder="1" applyAlignment="1">
      <alignment horizontal="left"/>
    </xf>
    <xf numFmtId="2" fontId="10" fillId="9" borderId="10" xfId="0" applyNumberFormat="1" applyFont="1" applyFill="1" applyBorder="1" applyAlignment="1">
      <alignment horizontal="center"/>
    </xf>
    <xf numFmtId="168" fontId="10" fillId="9" borderId="10" xfId="0" applyNumberFormat="1" applyFont="1" applyFill="1" applyBorder="1" applyAlignment="1">
      <alignment/>
    </xf>
    <xf numFmtId="168" fontId="3" fillId="9" borderId="10" xfId="0" applyNumberFormat="1" applyFont="1" applyFill="1" applyBorder="1" applyAlignment="1">
      <alignment/>
    </xf>
    <xf numFmtId="0" fontId="10" fillId="9" borderId="30" xfId="0" applyFont="1" applyFill="1" applyBorder="1" applyAlignment="1">
      <alignment horizontal="center"/>
    </xf>
    <xf numFmtId="0" fontId="10" fillId="10" borderId="33" xfId="0" applyFont="1" applyFill="1" applyBorder="1" applyAlignment="1">
      <alignment horizontal="left"/>
    </xf>
    <xf numFmtId="0" fontId="10" fillId="10" borderId="11" xfId="0" applyFont="1" applyFill="1" applyBorder="1" applyAlignment="1">
      <alignment/>
    </xf>
    <xf numFmtId="0" fontId="3" fillId="9" borderId="10" xfId="0" applyFont="1" applyFill="1" applyBorder="1" applyAlignment="1">
      <alignment horizontal="center"/>
    </xf>
    <xf numFmtId="168" fontId="3" fillId="9" borderId="10" xfId="0" applyNumberFormat="1" applyFont="1" applyFill="1" applyBorder="1" applyAlignment="1">
      <alignment horizontal="center"/>
    </xf>
    <xf numFmtId="0" fontId="10" fillId="9" borderId="29" xfId="0" applyFont="1" applyFill="1" applyBorder="1" applyAlignment="1">
      <alignment horizontal="center"/>
    </xf>
    <xf numFmtId="0" fontId="3" fillId="49" borderId="0" xfId="0" applyFont="1" applyFill="1" applyBorder="1" applyAlignment="1">
      <alignment/>
    </xf>
    <xf numFmtId="0" fontId="3" fillId="49" borderId="0" xfId="0" applyFont="1" applyFill="1" applyAlignment="1">
      <alignment/>
    </xf>
    <xf numFmtId="2" fontId="10" fillId="1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9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10" borderId="3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22" fillId="0" borderId="35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43" borderId="0" xfId="0" applyFont="1" applyFill="1" applyAlignment="1">
      <alignment/>
    </xf>
    <xf numFmtId="0" fontId="3" fillId="43" borderId="0" xfId="0" applyFont="1" applyFill="1" applyBorder="1" applyAlignment="1">
      <alignment/>
    </xf>
    <xf numFmtId="0" fontId="10" fillId="43" borderId="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44" borderId="11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49" fontId="24" fillId="0" borderId="0" xfId="0" applyNumberFormat="1" applyFont="1" applyBorder="1" applyAlignment="1">
      <alignment horizontal="center"/>
    </xf>
    <xf numFmtId="0" fontId="0" fillId="4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0" fillId="50" borderId="0" xfId="0" applyFill="1" applyBorder="1" applyAlignment="1">
      <alignment/>
    </xf>
    <xf numFmtId="0" fontId="0" fillId="50" borderId="0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44" borderId="10" xfId="0" applyFill="1" applyBorder="1" applyAlignment="1" applyProtection="1">
      <alignment horizontal="center"/>
      <protection locked="0"/>
    </xf>
    <xf numFmtId="0" fontId="0" fillId="44" borderId="10" xfId="0" applyFill="1" applyBorder="1" applyAlignment="1">
      <alignment horizontal="center"/>
    </xf>
    <xf numFmtId="0" fontId="0" fillId="50" borderId="1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15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47" borderId="36" xfId="0" applyFill="1" applyBorder="1" applyAlignment="1">
      <alignment horizontal="center"/>
    </xf>
    <xf numFmtId="0" fontId="0" fillId="47" borderId="36" xfId="0" applyFill="1" applyBorder="1" applyAlignment="1">
      <alignment/>
    </xf>
    <xf numFmtId="49" fontId="24" fillId="47" borderId="0" xfId="0" applyNumberFormat="1" applyFont="1" applyFill="1" applyBorder="1" applyAlignment="1">
      <alignment horizontal="center"/>
    </xf>
    <xf numFmtId="0" fontId="0" fillId="47" borderId="36" xfId="0" applyFill="1" applyBorder="1" applyAlignment="1">
      <alignment horizontal="right"/>
    </xf>
    <xf numFmtId="0" fontId="0" fillId="47" borderId="21" xfId="0" applyFill="1" applyBorder="1" applyAlignment="1">
      <alignment/>
    </xf>
    <xf numFmtId="0" fontId="0" fillId="47" borderId="26" xfId="0" applyFill="1" applyBorder="1" applyAlignment="1">
      <alignment/>
    </xf>
    <xf numFmtId="0" fontId="0" fillId="47" borderId="26" xfId="0" applyFill="1" applyBorder="1" applyAlignment="1">
      <alignment horizontal="left"/>
    </xf>
    <xf numFmtId="0" fontId="0" fillId="47" borderId="0" xfId="0" applyFill="1" applyBorder="1" applyAlignment="1">
      <alignment horizontal="center"/>
    </xf>
    <xf numFmtId="49" fontId="24" fillId="47" borderId="26" xfId="0" applyNumberFormat="1" applyFont="1" applyFill="1" applyBorder="1" applyAlignment="1">
      <alignment horizontal="center"/>
    </xf>
    <xf numFmtId="0" fontId="0" fillId="47" borderId="0" xfId="0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47" borderId="14" xfId="0" applyFill="1" applyBorder="1" applyAlignment="1">
      <alignment/>
    </xf>
    <xf numFmtId="0" fontId="0" fillId="47" borderId="19" xfId="0" applyFill="1" applyBorder="1" applyAlignment="1">
      <alignment/>
    </xf>
    <xf numFmtId="0" fontId="0" fillId="47" borderId="2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44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44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44" borderId="0" xfId="0" applyFont="1" applyFill="1" applyBorder="1" applyAlignment="1">
      <alignment/>
    </xf>
    <xf numFmtId="0" fontId="4" fillId="4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44" borderId="10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44" borderId="10" xfId="0" applyFont="1" applyFill="1" applyBorder="1" applyAlignment="1">
      <alignment/>
    </xf>
    <xf numFmtId="164" fontId="4" fillId="44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44" borderId="28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43" borderId="10" xfId="0" applyFont="1" applyFill="1" applyBorder="1" applyAlignment="1">
      <alignment horizontal="center"/>
    </xf>
    <xf numFmtId="0" fontId="0" fillId="43" borderId="0" xfId="0" applyFill="1" applyAlignment="1">
      <alignment/>
    </xf>
    <xf numFmtId="49" fontId="24" fillId="0" borderId="17" xfId="0" applyNumberFormat="1" applyFont="1" applyBorder="1" applyAlignment="1">
      <alignment horizontal="center"/>
    </xf>
    <xf numFmtId="0" fontId="4" fillId="44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44" borderId="10" xfId="0" applyFont="1" applyFill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0" xfId="0" applyBorder="1" applyAlignment="1">
      <alignment/>
    </xf>
    <xf numFmtId="0" fontId="4" fillId="0" borderId="26" xfId="0" applyFont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44" borderId="30" xfId="0" applyFont="1" applyFill="1" applyBorder="1" applyAlignment="1">
      <alignment horizontal="center"/>
    </xf>
    <xf numFmtId="0" fontId="0" fillId="8" borderId="11" xfId="0" applyFill="1" applyBorder="1" applyAlignment="1">
      <alignment/>
    </xf>
    <xf numFmtId="0" fontId="3" fillId="0" borderId="11" xfId="0" applyFont="1" applyBorder="1" applyAlignment="1">
      <alignment/>
    </xf>
    <xf numFmtId="0" fontId="3" fillId="43" borderId="0" xfId="0" applyFont="1" applyFill="1" applyAlignment="1">
      <alignment horizontal="right"/>
    </xf>
    <xf numFmtId="0" fontId="3" fillId="43" borderId="10" xfId="0" applyFont="1" applyFill="1" applyBorder="1" applyAlignment="1">
      <alignment horizontal="center"/>
    </xf>
    <xf numFmtId="0" fontId="3" fillId="43" borderId="0" xfId="0" applyFont="1" applyFill="1" applyAlignment="1">
      <alignment horizontal="center"/>
    </xf>
    <xf numFmtId="0" fontId="3" fillId="43" borderId="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44" borderId="10" xfId="0" applyFont="1" applyFill="1" applyBorder="1" applyAlignment="1">
      <alignment/>
    </xf>
    <xf numFmtId="0" fontId="3" fillId="44" borderId="2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43" borderId="0" xfId="0" applyFont="1" applyFill="1" applyAlignment="1">
      <alignment horizontal="left"/>
    </xf>
    <xf numFmtId="0" fontId="4" fillId="0" borderId="16" xfId="0" applyFont="1" applyBorder="1" applyAlignment="1">
      <alignment horizontal="right"/>
    </xf>
    <xf numFmtId="0" fontId="4" fillId="44" borderId="37" xfId="0" applyFont="1" applyFill="1" applyBorder="1" applyAlignment="1">
      <alignment horizontal="center"/>
    </xf>
    <xf numFmtId="0" fontId="4" fillId="44" borderId="3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11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0" xfId="0" applyFont="1" applyAlignment="1">
      <alignment horizontal="center"/>
    </xf>
    <xf numFmtId="0" fontId="28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1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4" fillId="44" borderId="30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44" borderId="1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4" fillId="51" borderId="10" xfId="0" applyFont="1" applyFill="1" applyBorder="1" applyAlignment="1">
      <alignment horizontal="right"/>
    </xf>
    <xf numFmtId="0" fontId="4" fillId="44" borderId="30" xfId="0" applyFont="1" applyFill="1" applyBorder="1" applyAlignment="1">
      <alignment/>
    </xf>
    <xf numFmtId="0" fontId="4" fillId="44" borderId="29" xfId="0" applyFont="1" applyFill="1" applyBorder="1" applyAlignment="1">
      <alignment/>
    </xf>
    <xf numFmtId="164" fontId="4" fillId="44" borderId="29" xfId="0" applyNumberFormat="1" applyFont="1" applyFill="1" applyBorder="1" applyAlignment="1">
      <alignment horizontal="center"/>
    </xf>
    <xf numFmtId="1" fontId="4" fillId="44" borderId="10" xfId="0" applyNumberFormat="1" applyFont="1" applyFill="1" applyBorder="1" applyAlignment="1">
      <alignment/>
    </xf>
    <xf numFmtId="0" fontId="14" fillId="52" borderId="0" xfId="0" applyFont="1" applyFill="1" applyAlignment="1">
      <alignment/>
    </xf>
    <xf numFmtId="0" fontId="14" fillId="52" borderId="0" xfId="0" applyFont="1" applyFill="1" applyBorder="1" applyAlignment="1">
      <alignment/>
    </xf>
    <xf numFmtId="0" fontId="3" fillId="4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39" xfId="0" applyBorder="1" applyAlignment="1">
      <alignment horizontal="right"/>
    </xf>
    <xf numFmtId="0" fontId="0" fillId="0" borderId="28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44" borderId="43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44" borderId="29" xfId="0" applyFill="1" applyBorder="1" applyAlignment="1">
      <alignment horizontal="center"/>
    </xf>
    <xf numFmtId="0" fontId="78" fillId="51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50" borderId="10" xfId="0" applyFont="1" applyFill="1" applyBorder="1" applyAlignment="1">
      <alignment horizontal="center"/>
    </xf>
    <xf numFmtId="0" fontId="0" fillId="44" borderId="40" xfId="0" applyFill="1" applyBorder="1" applyAlignment="1">
      <alignment horizontal="center"/>
    </xf>
    <xf numFmtId="0" fontId="0" fillId="44" borderId="41" xfId="0" applyFill="1" applyBorder="1" applyAlignment="1">
      <alignment horizontal="center"/>
    </xf>
    <xf numFmtId="0" fontId="0" fillId="44" borderId="42" xfId="0" applyFill="1" applyBorder="1" applyAlignment="1">
      <alignment horizontal="center"/>
    </xf>
    <xf numFmtId="0" fontId="0" fillId="44" borderId="44" xfId="0" applyFill="1" applyBorder="1" applyAlignment="1">
      <alignment horizontal="center"/>
    </xf>
    <xf numFmtId="0" fontId="0" fillId="44" borderId="25" xfId="0" applyFill="1" applyBorder="1" applyAlignment="1">
      <alignment horizontal="center"/>
    </xf>
    <xf numFmtId="0" fontId="0" fillId="44" borderId="45" xfId="0" applyFill="1" applyBorder="1" applyAlignment="1">
      <alignment horizontal="center"/>
    </xf>
    <xf numFmtId="0" fontId="0" fillId="44" borderId="30" xfId="0" applyFill="1" applyBorder="1" applyAlignment="1">
      <alignment horizontal="center"/>
    </xf>
    <xf numFmtId="0" fontId="79" fillId="44" borderId="29" xfId="0" applyFont="1" applyFill="1" applyBorder="1" applyAlignment="1">
      <alignment horizontal="center"/>
    </xf>
    <xf numFmtId="0" fontId="79" fillId="44" borderId="43" xfId="0" applyFont="1" applyFill="1" applyBorder="1" applyAlignment="1">
      <alignment horizontal="center"/>
    </xf>
    <xf numFmtId="0" fontId="0" fillId="44" borderId="46" xfId="0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80" fillId="51" borderId="0" xfId="0" applyFont="1" applyFill="1" applyAlignment="1">
      <alignment/>
    </xf>
    <xf numFmtId="0" fontId="81" fillId="51" borderId="0" xfId="0" applyFont="1" applyFill="1" applyAlignment="1">
      <alignment horizontal="center"/>
    </xf>
    <xf numFmtId="0" fontId="82" fillId="51" borderId="0" xfId="0" applyFont="1" applyFill="1" applyAlignment="1">
      <alignment/>
    </xf>
    <xf numFmtId="0" fontId="3" fillId="43" borderId="0" xfId="0" applyFont="1" applyFill="1" applyAlignment="1">
      <alignment/>
    </xf>
    <xf numFmtId="0" fontId="0" fillId="53" borderId="0" xfId="0" applyFill="1" applyAlignment="1">
      <alignment/>
    </xf>
    <xf numFmtId="0" fontId="0" fillId="53" borderId="0" xfId="0" applyFill="1" applyBorder="1" applyAlignment="1">
      <alignment/>
    </xf>
    <xf numFmtId="0" fontId="0" fillId="53" borderId="0" xfId="0" applyFont="1" applyFill="1" applyBorder="1" applyAlignment="1">
      <alignment horizontal="center"/>
    </xf>
    <xf numFmtId="2" fontId="0" fillId="44" borderId="10" xfId="0" applyNumberFormat="1" applyFill="1" applyBorder="1" applyAlignment="1">
      <alignment horizontal="center"/>
    </xf>
    <xf numFmtId="2" fontId="0" fillId="44" borderId="10" xfId="0" applyNumberFormat="1" applyFill="1" applyBorder="1" applyAlignment="1">
      <alignment/>
    </xf>
    <xf numFmtId="16" fontId="3" fillId="0" borderId="0" xfId="0" applyNumberFormat="1" applyFont="1" applyAlignment="1">
      <alignment/>
    </xf>
    <xf numFmtId="0" fontId="3" fillId="43" borderId="28" xfId="0" applyFont="1" applyFill="1" applyBorder="1" applyAlignment="1">
      <alignment horizontal="center"/>
    </xf>
    <xf numFmtId="0" fontId="3" fillId="43" borderId="10" xfId="0" applyFont="1" applyFill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44" borderId="43" xfId="0" applyFont="1" applyFill="1" applyBorder="1" applyAlignment="1">
      <alignment horizontal="center"/>
    </xf>
    <xf numFmtId="2" fontId="3" fillId="44" borderId="10" xfId="0" applyNumberFormat="1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83" fillId="51" borderId="0" xfId="0" applyFont="1" applyFill="1" applyAlignment="1">
      <alignment horizontal="center"/>
    </xf>
    <xf numFmtId="0" fontId="84" fillId="51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51" borderId="10" xfId="0" applyFont="1" applyFill="1" applyBorder="1" applyAlignment="1">
      <alignment horizontal="center"/>
    </xf>
    <xf numFmtId="164" fontId="3" fillId="44" borderId="40" xfId="0" applyNumberFormat="1" applyFont="1" applyFill="1" applyBorder="1" applyAlignment="1">
      <alignment horizontal="center"/>
    </xf>
    <xf numFmtId="164" fontId="3" fillId="44" borderId="41" xfId="0" applyNumberFormat="1" applyFont="1" applyFill="1" applyBorder="1" applyAlignment="1">
      <alignment horizontal="center"/>
    </xf>
    <xf numFmtId="164" fontId="3" fillId="44" borderId="42" xfId="0" applyNumberFormat="1" applyFont="1" applyFill="1" applyBorder="1" applyAlignment="1">
      <alignment horizontal="center"/>
    </xf>
    <xf numFmtId="0" fontId="85" fillId="44" borderId="43" xfId="0" applyFont="1" applyFill="1" applyBorder="1" applyAlignment="1">
      <alignment horizontal="center"/>
    </xf>
    <xf numFmtId="164" fontId="3" fillId="44" borderId="44" xfId="0" applyNumberFormat="1" applyFont="1" applyFill="1" applyBorder="1" applyAlignment="1">
      <alignment horizontal="center"/>
    </xf>
    <xf numFmtId="164" fontId="3" fillId="44" borderId="10" xfId="0" applyNumberFormat="1" applyFont="1" applyFill="1" applyBorder="1" applyAlignment="1">
      <alignment horizontal="center"/>
    </xf>
    <xf numFmtId="164" fontId="3" fillId="44" borderId="25" xfId="0" applyNumberFormat="1" applyFont="1" applyFill="1" applyBorder="1" applyAlignment="1">
      <alignment horizontal="center"/>
    </xf>
    <xf numFmtId="164" fontId="3" fillId="44" borderId="45" xfId="0" applyNumberFormat="1" applyFont="1" applyFill="1" applyBorder="1" applyAlignment="1">
      <alignment horizontal="center"/>
    </xf>
    <xf numFmtId="164" fontId="3" fillId="44" borderId="30" xfId="0" applyNumberFormat="1" applyFont="1" applyFill="1" applyBorder="1" applyAlignment="1">
      <alignment horizontal="center"/>
    </xf>
    <xf numFmtId="164" fontId="3" fillId="44" borderId="46" xfId="0" applyNumberFormat="1" applyFont="1" applyFill="1" applyBorder="1" applyAlignment="1">
      <alignment horizontal="center"/>
    </xf>
    <xf numFmtId="0" fontId="85" fillId="44" borderId="29" xfId="0" applyFont="1" applyFill="1" applyBorder="1" applyAlignment="1">
      <alignment horizontal="center"/>
    </xf>
    <xf numFmtId="0" fontId="86" fillId="51" borderId="0" xfId="0" applyFont="1" applyFill="1" applyAlignment="1">
      <alignment horizontal="center"/>
    </xf>
    <xf numFmtId="0" fontId="3" fillId="43" borderId="39" xfId="0" applyFont="1" applyFill="1" applyBorder="1" applyAlignment="1">
      <alignment horizontal="right"/>
    </xf>
    <xf numFmtId="0" fontId="3" fillId="43" borderId="10" xfId="0" applyFont="1" applyFill="1" applyBorder="1" applyAlignment="1">
      <alignment horizontal="right"/>
    </xf>
    <xf numFmtId="0" fontId="3" fillId="43" borderId="0" xfId="0" applyFont="1" applyFill="1" applyBorder="1" applyAlignment="1">
      <alignment horizontal="left"/>
    </xf>
    <xf numFmtId="0" fontId="83" fillId="43" borderId="0" xfId="0" applyFont="1" applyFill="1" applyAlignment="1">
      <alignment horizontal="center"/>
    </xf>
    <xf numFmtId="0" fontId="15" fillId="43" borderId="0" xfId="0" applyFont="1" applyFill="1" applyAlignment="1">
      <alignment/>
    </xf>
    <xf numFmtId="0" fontId="3" fillId="43" borderId="0" xfId="0" applyFont="1" applyFill="1" applyAlignment="1">
      <alignment/>
    </xf>
    <xf numFmtId="0" fontId="3" fillId="0" borderId="10" xfId="0" applyFont="1" applyFill="1" applyBorder="1" applyAlignment="1">
      <alignment horizontal="right"/>
    </xf>
    <xf numFmtId="0" fontId="3" fillId="50" borderId="10" xfId="0" applyFont="1" applyFill="1" applyBorder="1" applyAlignment="1">
      <alignment horizontal="center"/>
    </xf>
    <xf numFmtId="0" fontId="3" fillId="44" borderId="47" xfId="0" applyFont="1" applyFill="1" applyBorder="1" applyAlignment="1">
      <alignment/>
    </xf>
    <xf numFmtId="0" fontId="3" fillId="44" borderId="48" xfId="0" applyFont="1" applyFill="1" applyBorder="1" applyAlignment="1">
      <alignment/>
    </xf>
    <xf numFmtId="0" fontId="3" fillId="44" borderId="49" xfId="0" applyFont="1" applyFill="1" applyBorder="1" applyAlignment="1">
      <alignment/>
    </xf>
    <xf numFmtId="0" fontId="3" fillId="51" borderId="0" xfId="0" applyFont="1" applyFill="1" applyAlignment="1">
      <alignment/>
    </xf>
    <xf numFmtId="0" fontId="3" fillId="0" borderId="10" xfId="0" applyFont="1" applyBorder="1" applyAlignment="1">
      <alignment horizontal="right"/>
    </xf>
    <xf numFmtId="0" fontId="3" fillId="44" borderId="50" xfId="0" applyFont="1" applyFill="1" applyBorder="1" applyAlignment="1">
      <alignment/>
    </xf>
    <xf numFmtId="0" fontId="3" fillId="44" borderId="0" xfId="0" applyFont="1" applyFill="1" applyBorder="1" applyAlignment="1">
      <alignment/>
    </xf>
    <xf numFmtId="0" fontId="3" fillId="44" borderId="51" xfId="0" applyFont="1" applyFill="1" applyBorder="1" applyAlignment="1">
      <alignment/>
    </xf>
    <xf numFmtId="2" fontId="3" fillId="44" borderId="10" xfId="0" applyNumberFormat="1" applyFont="1" applyFill="1" applyBorder="1" applyAlignment="1">
      <alignment/>
    </xf>
    <xf numFmtId="0" fontId="3" fillId="44" borderId="52" xfId="0" applyFont="1" applyFill="1" applyBorder="1" applyAlignment="1">
      <alignment/>
    </xf>
    <xf numFmtId="0" fontId="3" fillId="44" borderId="36" xfId="0" applyFont="1" applyFill="1" applyBorder="1" applyAlignment="1">
      <alignment/>
    </xf>
    <xf numFmtId="0" fontId="3" fillId="44" borderId="53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3" fillId="5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8" fontId="3" fillId="44" borderId="10" xfId="0" applyNumberFormat="1" applyFont="1" applyFill="1" applyBorder="1" applyAlignment="1">
      <alignment horizontal="center"/>
    </xf>
    <xf numFmtId="164" fontId="3" fillId="44" borderId="10" xfId="0" applyNumberFormat="1" applyFont="1" applyFill="1" applyBorder="1" applyAlignment="1">
      <alignment/>
    </xf>
    <xf numFmtId="168" fontId="3" fillId="44" borderId="10" xfId="0" applyNumberFormat="1" applyFont="1" applyFill="1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43" xfId="0" applyFont="1" applyBorder="1" applyAlignment="1">
      <alignment horizontal="right"/>
    </xf>
    <xf numFmtId="0" fontId="3" fillId="0" borderId="14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left"/>
    </xf>
    <xf numFmtId="0" fontId="3" fillId="0" borderId="26" xfId="0" applyFont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7" xfId="0" applyFont="1" applyBorder="1" applyAlignment="1">
      <alignment/>
    </xf>
    <xf numFmtId="0" fontId="3" fillId="43" borderId="14" xfId="0" applyFont="1" applyFill="1" applyBorder="1" applyAlignment="1">
      <alignment/>
    </xf>
    <xf numFmtId="0" fontId="3" fillId="43" borderId="19" xfId="0" applyFont="1" applyFill="1" applyBorder="1" applyAlignment="1">
      <alignment/>
    </xf>
    <xf numFmtId="0" fontId="3" fillId="43" borderId="21" xfId="0" applyFont="1" applyFill="1" applyBorder="1" applyAlignment="1">
      <alignment/>
    </xf>
    <xf numFmtId="0" fontId="3" fillId="43" borderId="12" xfId="0" applyFont="1" applyFill="1" applyBorder="1" applyAlignment="1">
      <alignment/>
    </xf>
    <xf numFmtId="0" fontId="3" fillId="43" borderId="11" xfId="0" applyFont="1" applyFill="1" applyBorder="1" applyAlignment="1">
      <alignment/>
    </xf>
    <xf numFmtId="0" fontId="3" fillId="43" borderId="20" xfId="0" applyFont="1" applyFill="1" applyBorder="1" applyAlignment="1">
      <alignment/>
    </xf>
    <xf numFmtId="0" fontId="3" fillId="43" borderId="39" xfId="0" applyFont="1" applyFill="1" applyBorder="1" applyAlignment="1">
      <alignment horizontal="center"/>
    </xf>
    <xf numFmtId="0" fontId="3" fillId="43" borderId="54" xfId="0" applyFont="1" applyFill="1" applyBorder="1" applyAlignment="1">
      <alignment horizontal="left"/>
    </xf>
    <xf numFmtId="0" fontId="3" fillId="43" borderId="26" xfId="0" applyFont="1" applyFill="1" applyBorder="1" applyAlignment="1">
      <alignment/>
    </xf>
    <xf numFmtId="0" fontId="3" fillId="43" borderId="39" xfId="0" applyFont="1" applyFill="1" applyBorder="1" applyAlignment="1">
      <alignment/>
    </xf>
    <xf numFmtId="0" fontId="3" fillId="43" borderId="27" xfId="0" applyFont="1" applyFill="1" applyBorder="1" applyAlignment="1">
      <alignment/>
    </xf>
    <xf numFmtId="0" fontId="3" fillId="44" borderId="51" xfId="0" applyFont="1" applyFill="1" applyBorder="1" applyAlignment="1">
      <alignment horizontal="center"/>
    </xf>
    <xf numFmtId="0" fontId="3" fillId="44" borderId="53" xfId="0" applyFont="1" applyFill="1" applyBorder="1" applyAlignment="1">
      <alignment horizontal="center"/>
    </xf>
    <xf numFmtId="0" fontId="3" fillId="43" borderId="5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5" fillId="0" borderId="0" xfId="0" applyFont="1" applyAlignment="1">
      <alignment/>
    </xf>
    <xf numFmtId="166" fontId="3" fillId="44" borderId="10" xfId="0" applyNumberFormat="1" applyFont="1" applyFill="1" applyBorder="1" applyAlignment="1">
      <alignment/>
    </xf>
    <xf numFmtId="0" fontId="15" fillId="4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50" borderId="0" xfId="0" applyFont="1" applyFill="1" applyAlignment="1">
      <alignment/>
    </xf>
    <xf numFmtId="0" fontId="4" fillId="5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87" fillId="45" borderId="56" xfId="0" applyFont="1" applyFill="1" applyBorder="1" applyAlignment="1">
      <alignment horizontal="left" vertical="top" wrapText="1" indent="1"/>
    </xf>
    <xf numFmtId="0" fontId="3" fillId="43" borderId="0" xfId="0" applyFont="1" applyFill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3675"/>
          <c:w val="0.9445"/>
          <c:h val="0.92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'correlation coefficient'!$B$3:$B$12</c:f>
              <c:numCache/>
            </c:numRef>
          </c:xVal>
          <c:yVal>
            <c:numRef>
              <c:f>'correlation coefficient'!$C$3:$C$12</c:f>
              <c:numCache/>
            </c:numRef>
          </c:yVal>
          <c:smooth val="0"/>
        </c:ser>
        <c:axId val="22948391"/>
        <c:axId val="5208928"/>
      </c:scatterChart>
      <c:valAx>
        <c:axId val="22948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8928"/>
        <c:crosses val="autoZero"/>
        <c:crossBetween val="midCat"/>
        <c:dispUnits/>
      </c:valAx>
      <c:valAx>
        <c:axId val="5208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483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31.emf" /><Relationship Id="rId3" Type="http://schemas.openxmlformats.org/officeDocument/2006/relationships/image" Target="../media/image32.emf" /><Relationship Id="rId4" Type="http://schemas.openxmlformats.org/officeDocument/2006/relationships/image" Target="../media/image9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3.png" /><Relationship Id="rId3" Type="http://schemas.openxmlformats.org/officeDocument/2006/relationships/image" Target="../media/image10.emf" /><Relationship Id="rId4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image" Target="../media/image3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Relationship Id="rId2" Type="http://schemas.openxmlformats.org/officeDocument/2006/relationships/image" Target="../media/image36.emf" /><Relationship Id="rId3" Type="http://schemas.openxmlformats.org/officeDocument/2006/relationships/image" Target="../media/image5.png" /><Relationship Id="rId4" Type="http://schemas.openxmlformats.org/officeDocument/2006/relationships/image" Target="../media/image37.emf" /><Relationship Id="rId5" Type="http://schemas.openxmlformats.org/officeDocument/2006/relationships/image" Target="../media/image38.emf" /><Relationship Id="rId6" Type="http://schemas.openxmlformats.org/officeDocument/2006/relationships/image" Target="../media/image39.emf" /><Relationship Id="rId7" Type="http://schemas.openxmlformats.org/officeDocument/2006/relationships/image" Target="../media/image6.png" /><Relationship Id="rId8" Type="http://schemas.openxmlformats.org/officeDocument/2006/relationships/image" Target="../media/image40.png" /><Relationship Id="rId9" Type="http://schemas.openxmlformats.org/officeDocument/2006/relationships/image" Target="../media/image3.emf" /><Relationship Id="rId10" Type="http://schemas.openxmlformats.org/officeDocument/2006/relationships/image" Target="../media/image7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Relationship Id="rId2" Type="http://schemas.openxmlformats.org/officeDocument/2006/relationships/image" Target="../media/image5.png" /><Relationship Id="rId3" Type="http://schemas.openxmlformats.org/officeDocument/2006/relationships/image" Target="../media/image42.png" /><Relationship Id="rId4" Type="http://schemas.openxmlformats.org/officeDocument/2006/relationships/image" Target="../media/image43.png" /><Relationship Id="rId5" Type="http://schemas.openxmlformats.org/officeDocument/2006/relationships/image" Target="../media/image8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Relationship Id="rId2" Type="http://schemas.openxmlformats.org/officeDocument/2006/relationships/image" Target="../media/image45.png" /><Relationship Id="rId3" Type="http://schemas.openxmlformats.org/officeDocument/2006/relationships/image" Target="../media/image5.png" /><Relationship Id="rId4" Type="http://schemas.openxmlformats.org/officeDocument/2006/relationships/chart" Target="/xl/charts/chart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Relationship Id="rId2" Type="http://schemas.openxmlformats.org/officeDocument/2006/relationships/image" Target="../media/image47.png" /><Relationship Id="rId3" Type="http://schemas.openxmlformats.org/officeDocument/2006/relationships/image" Target="../media/image48.png" /><Relationship Id="rId4" Type="http://schemas.openxmlformats.org/officeDocument/2006/relationships/image" Target="../media/image49.png" /><Relationship Id="rId5" Type="http://schemas.openxmlformats.org/officeDocument/2006/relationships/image" Target="../media/image50.emf" /><Relationship Id="rId6" Type="http://schemas.openxmlformats.org/officeDocument/2006/relationships/image" Target="../media/image51.emf" /><Relationship Id="rId7" Type="http://schemas.openxmlformats.org/officeDocument/2006/relationships/image" Target="../media/image5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2.png" /><Relationship Id="rId4" Type="http://schemas.openxmlformats.org/officeDocument/2006/relationships/image" Target="../media/image15.png" /><Relationship Id="rId5" Type="http://schemas.openxmlformats.org/officeDocument/2006/relationships/image" Target="../media/image1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Relationship Id="rId4" Type="http://schemas.openxmlformats.org/officeDocument/2006/relationships/image" Target="../media/image2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2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Relationship Id="rId2" Type="http://schemas.openxmlformats.org/officeDocument/2006/relationships/image" Target="../media/image23.png" /><Relationship Id="rId3" Type="http://schemas.openxmlformats.org/officeDocument/2006/relationships/image" Target="../media/image24.png" /><Relationship Id="rId4" Type="http://schemas.openxmlformats.org/officeDocument/2006/relationships/image" Target="../media/image2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6.png" /><Relationship Id="rId3" Type="http://schemas.openxmlformats.org/officeDocument/2006/relationships/image" Target="../media/image2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Relationship Id="rId2" Type="http://schemas.openxmlformats.org/officeDocument/2006/relationships/image" Target="../media/image24.png" /><Relationship Id="rId3" Type="http://schemas.openxmlformats.org/officeDocument/2006/relationships/image" Target="../media/image23.png" /><Relationship Id="rId4" Type="http://schemas.openxmlformats.org/officeDocument/2006/relationships/image" Target="../media/image26.png" /><Relationship Id="rId5" Type="http://schemas.openxmlformats.org/officeDocument/2006/relationships/image" Target="../media/image2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381000</xdr:colOff>
      <xdr:row>1</xdr:row>
      <xdr:rowOff>19050</xdr:rowOff>
    </xdr:from>
    <xdr:to>
      <xdr:col>14</xdr:col>
      <xdr:colOff>28575</xdr:colOff>
      <xdr:row>2</xdr:row>
      <xdr:rowOff>123825</xdr:rowOff>
    </xdr:to>
    <xdr:pic>
      <xdr:nvPicPr>
        <xdr:cNvPr id="1" name="Picture 1" descr="A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714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1</xdr:row>
      <xdr:rowOff>0</xdr:rowOff>
    </xdr:from>
    <xdr:to>
      <xdr:col>14</xdr:col>
      <xdr:colOff>514350</xdr:colOff>
      <xdr:row>2</xdr:row>
      <xdr:rowOff>104775</xdr:rowOff>
    </xdr:to>
    <xdr:pic>
      <xdr:nvPicPr>
        <xdr:cNvPr id="2" name="Picture 2" descr="A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381000</xdr:colOff>
      <xdr:row>2</xdr:row>
      <xdr:rowOff>57150</xdr:rowOff>
    </xdr:from>
    <xdr:to>
      <xdr:col>16</xdr:col>
      <xdr:colOff>352425</xdr:colOff>
      <xdr:row>5</xdr:row>
      <xdr:rowOff>38100</xdr:rowOff>
    </xdr:to>
    <xdr:pic>
      <xdr:nvPicPr>
        <xdr:cNvPr id="3" name="Picture 6" descr="mean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361950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0</xdr:row>
      <xdr:rowOff>76200</xdr:rowOff>
    </xdr:from>
    <xdr:to>
      <xdr:col>21</xdr:col>
      <xdr:colOff>219075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76200"/>
          <a:ext cx="4352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0</xdr:row>
      <xdr:rowOff>19050</xdr:rowOff>
    </xdr:from>
    <xdr:to>
      <xdr:col>12</xdr:col>
      <xdr:colOff>104775</xdr:colOff>
      <xdr:row>9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9050"/>
          <a:ext cx="3752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0</xdr:row>
      <xdr:rowOff>66675</xdr:rowOff>
    </xdr:from>
    <xdr:to>
      <xdr:col>3</xdr:col>
      <xdr:colOff>57150</xdr:colOff>
      <xdr:row>8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66675"/>
          <a:ext cx="28384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13</xdr:row>
      <xdr:rowOff>76200</xdr:rowOff>
    </xdr:from>
    <xdr:to>
      <xdr:col>14</xdr:col>
      <xdr:colOff>123825</xdr:colOff>
      <xdr:row>31</xdr:row>
      <xdr:rowOff>19050</xdr:rowOff>
    </xdr:to>
    <xdr:pic>
      <xdr:nvPicPr>
        <xdr:cNvPr id="4" name="Picture 20" descr="C:\www.mathnstuff.com\math\spoken\here\2class\90\htest4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0" y="2228850"/>
          <a:ext cx="47625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142875</xdr:colOff>
      <xdr:row>10</xdr:row>
      <xdr:rowOff>0</xdr:rowOff>
    </xdr:from>
    <xdr:to>
      <xdr:col>18</xdr:col>
      <xdr:colOff>590550</xdr:colOff>
      <xdr:row>12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638300"/>
          <a:ext cx="3124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36</xdr:row>
      <xdr:rowOff>114300</xdr:rowOff>
    </xdr:from>
    <xdr:to>
      <xdr:col>7</xdr:col>
      <xdr:colOff>514350</xdr:colOff>
      <xdr:row>39</xdr:row>
      <xdr:rowOff>66675</xdr:rowOff>
    </xdr:to>
    <xdr:pic>
      <xdr:nvPicPr>
        <xdr:cNvPr id="2" name="Picture 7" descr="C:\www.mathnstuff.com\math\spoken\here\2class\90\ht10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6038850"/>
          <a:ext cx="1428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10</xdr:row>
      <xdr:rowOff>104775</xdr:rowOff>
    </xdr:from>
    <xdr:to>
      <xdr:col>7</xdr:col>
      <xdr:colOff>819150</xdr:colOff>
      <xdr:row>13</xdr:row>
      <xdr:rowOff>57150</xdr:rowOff>
    </xdr:to>
    <xdr:pic>
      <xdr:nvPicPr>
        <xdr:cNvPr id="3" name="Picture 8" descr="C:\www.mathnstuff.com\math\spoken\here\2class\90\ht10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743075"/>
          <a:ext cx="1428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13</xdr:row>
      <xdr:rowOff>57150</xdr:rowOff>
    </xdr:from>
    <xdr:to>
      <xdr:col>19</xdr:col>
      <xdr:colOff>447675</xdr:colOff>
      <xdr:row>15</xdr:row>
      <xdr:rowOff>76200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0" y="2181225"/>
          <a:ext cx="3590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19</xdr:col>
      <xdr:colOff>514350</xdr:colOff>
      <xdr:row>18</xdr:row>
      <xdr:rowOff>104775</xdr:rowOff>
    </xdr:to>
    <xdr:pic>
      <xdr:nvPicPr>
        <xdr:cNvPr id="5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0" y="2647950"/>
          <a:ext cx="3657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66675</xdr:colOff>
      <xdr:row>24</xdr:row>
      <xdr:rowOff>161925</xdr:rowOff>
    </xdr:from>
    <xdr:to>
      <xdr:col>25</xdr:col>
      <xdr:colOff>142875</xdr:colOff>
      <xdr:row>27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06450" y="4152900"/>
          <a:ext cx="1781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257175</xdr:colOff>
      <xdr:row>33</xdr:row>
      <xdr:rowOff>57150</xdr:rowOff>
    </xdr:from>
    <xdr:to>
      <xdr:col>18</xdr:col>
      <xdr:colOff>942975</xdr:colOff>
      <xdr:row>36</xdr:row>
      <xdr:rowOff>9525</xdr:rowOff>
    </xdr:to>
    <xdr:pic>
      <xdr:nvPicPr>
        <xdr:cNvPr id="2" name="Picture 39" descr="C:\www.mathnstuff.com\math\spoken\here\2class\90\ht10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72700" y="5553075"/>
          <a:ext cx="1428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31</xdr:row>
      <xdr:rowOff>95250</xdr:rowOff>
    </xdr:from>
    <xdr:to>
      <xdr:col>6</xdr:col>
      <xdr:colOff>342900</xdr:colOff>
      <xdr:row>37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267325"/>
          <a:ext cx="3581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133350</xdr:colOff>
      <xdr:row>25</xdr:row>
      <xdr:rowOff>123825</xdr:rowOff>
    </xdr:from>
    <xdr:to>
      <xdr:col>33</xdr:col>
      <xdr:colOff>647700</xdr:colOff>
      <xdr:row>28</xdr:row>
      <xdr:rowOff>66675</xdr:rowOff>
    </xdr:to>
    <xdr:pic>
      <xdr:nvPicPr>
        <xdr:cNvPr id="4" name="Picture 39" descr="C:\www.mathnstuff.com\math\spoken\here\2class\90\ht10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68950" y="4324350"/>
          <a:ext cx="1143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3</xdr:row>
      <xdr:rowOff>104775</xdr:rowOff>
    </xdr:from>
    <xdr:to>
      <xdr:col>8</xdr:col>
      <xdr:colOff>200025</xdr:colOff>
      <xdr:row>8</xdr:row>
      <xdr:rowOff>19050</xdr:rowOff>
    </xdr:to>
    <xdr:pic>
      <xdr:nvPicPr>
        <xdr:cNvPr id="1" name="Picture 1" descr="C:\www.mathnstuff.com\math\spoken\here\2class\90\ht5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600075"/>
          <a:ext cx="1504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10</xdr:row>
      <xdr:rowOff>66675</xdr:rowOff>
    </xdr:from>
    <xdr:to>
      <xdr:col>4</xdr:col>
      <xdr:colOff>333375</xdr:colOff>
      <xdr:row>15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1704975"/>
          <a:ext cx="1276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12</xdr:row>
      <xdr:rowOff>209550</xdr:rowOff>
    </xdr:from>
    <xdr:to>
      <xdr:col>5</xdr:col>
      <xdr:colOff>238125</xdr:colOff>
      <xdr:row>18</xdr:row>
      <xdr:rowOff>57150</xdr:rowOff>
    </xdr:to>
    <xdr:pic>
      <xdr:nvPicPr>
        <xdr:cNvPr id="3" name="Picture 5" descr="C:\www.mathnstuff.com\gif\sq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2181225"/>
          <a:ext cx="276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12</xdr:row>
      <xdr:rowOff>209550</xdr:rowOff>
    </xdr:from>
    <xdr:to>
      <xdr:col>11</xdr:col>
      <xdr:colOff>38100</xdr:colOff>
      <xdr:row>15</xdr:row>
      <xdr:rowOff>85725</xdr:rowOff>
    </xdr:to>
    <xdr:pic>
      <xdr:nvPicPr>
        <xdr:cNvPr id="4" name="Picture 5" descr="C:\www.mathnstuff.com\gif\sq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00675" y="2181225"/>
          <a:ext cx="276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22</xdr:row>
      <xdr:rowOff>200025</xdr:rowOff>
    </xdr:from>
    <xdr:to>
      <xdr:col>5</xdr:col>
      <xdr:colOff>228600</xdr:colOff>
      <xdr:row>27</xdr:row>
      <xdr:rowOff>104775</xdr:rowOff>
    </xdr:to>
    <xdr:pic>
      <xdr:nvPicPr>
        <xdr:cNvPr id="5" name="Picture 5" descr="C:\www.mathnstuff.com\gif\sq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4019550"/>
          <a:ext cx="276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22</xdr:row>
      <xdr:rowOff>200025</xdr:rowOff>
    </xdr:from>
    <xdr:to>
      <xdr:col>11</xdr:col>
      <xdr:colOff>85725</xdr:colOff>
      <xdr:row>25</xdr:row>
      <xdr:rowOff>0</xdr:rowOff>
    </xdr:to>
    <xdr:pic>
      <xdr:nvPicPr>
        <xdr:cNvPr id="6" name="Picture 5" descr="C:\www.mathnstuff.com\gif\sq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4019550"/>
          <a:ext cx="276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3</xdr:row>
      <xdr:rowOff>76200</xdr:rowOff>
    </xdr:from>
    <xdr:to>
      <xdr:col>13</xdr:col>
      <xdr:colOff>276225</xdr:colOff>
      <xdr:row>8</xdr:row>
      <xdr:rowOff>28575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10175" y="571500"/>
          <a:ext cx="1533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21</xdr:row>
      <xdr:rowOff>47625</xdr:rowOff>
    </xdr:from>
    <xdr:to>
      <xdr:col>4</xdr:col>
      <xdr:colOff>171450</xdr:colOff>
      <xdr:row>24</xdr:row>
      <xdr:rowOff>209550</xdr:rowOff>
    </xdr:to>
    <xdr:pic>
      <xdr:nvPicPr>
        <xdr:cNvPr id="8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33600" y="3695700"/>
          <a:ext cx="1076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219075</xdr:colOff>
      <xdr:row>2</xdr:row>
      <xdr:rowOff>152400</xdr:rowOff>
    </xdr:from>
    <xdr:to>
      <xdr:col>23</xdr:col>
      <xdr:colOff>447675</xdr:colOff>
      <xdr:row>10</xdr:row>
      <xdr:rowOff>0</xdr:rowOff>
    </xdr:to>
    <xdr:pic>
      <xdr:nvPicPr>
        <xdr:cNvPr id="9" name="Picture 2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96450" y="485775"/>
          <a:ext cx="14954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361950</xdr:colOff>
      <xdr:row>10</xdr:row>
      <xdr:rowOff>38100</xdr:rowOff>
    </xdr:from>
    <xdr:to>
      <xdr:col>20</xdr:col>
      <xdr:colOff>152400</xdr:colOff>
      <xdr:row>12</xdr:row>
      <xdr:rowOff>219075</xdr:rowOff>
    </xdr:to>
    <xdr:pic>
      <xdr:nvPicPr>
        <xdr:cNvPr id="10" name="Picture 223" descr="C:\www.mathnstuff.com\gif\br1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477375" y="1676400"/>
          <a:ext cx="152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590550</xdr:colOff>
      <xdr:row>10</xdr:row>
      <xdr:rowOff>38100</xdr:rowOff>
    </xdr:from>
    <xdr:to>
      <xdr:col>24</xdr:col>
      <xdr:colOff>114300</xdr:colOff>
      <xdr:row>12</xdr:row>
      <xdr:rowOff>219075</xdr:rowOff>
    </xdr:to>
    <xdr:pic>
      <xdr:nvPicPr>
        <xdr:cNvPr id="11" name="Picture 223" descr="C:\www.mathnstuff.com\gif\br1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334750" y="1676400"/>
          <a:ext cx="133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361950</xdr:colOff>
      <xdr:row>14</xdr:row>
      <xdr:rowOff>0</xdr:rowOff>
    </xdr:from>
    <xdr:to>
      <xdr:col>20</xdr:col>
      <xdr:colOff>142875</xdr:colOff>
      <xdr:row>16</xdr:row>
      <xdr:rowOff>123825</xdr:rowOff>
    </xdr:to>
    <xdr:pic>
      <xdr:nvPicPr>
        <xdr:cNvPr id="12" name="Picture 223" descr="C:\www.mathnstuff.com\gif\br1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477375" y="2371725"/>
          <a:ext cx="142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219075</xdr:colOff>
      <xdr:row>13</xdr:row>
      <xdr:rowOff>152400</xdr:rowOff>
    </xdr:from>
    <xdr:to>
      <xdr:col>23</xdr:col>
      <xdr:colOff>142875</xdr:colOff>
      <xdr:row>16</xdr:row>
      <xdr:rowOff>114300</xdr:rowOff>
    </xdr:to>
    <xdr:pic>
      <xdr:nvPicPr>
        <xdr:cNvPr id="13" name="Picture 223" descr="C:\www.mathnstuff.com\gif\br1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44200" y="2362200"/>
          <a:ext cx="142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600075</xdr:colOff>
      <xdr:row>14</xdr:row>
      <xdr:rowOff>9525</xdr:rowOff>
    </xdr:from>
    <xdr:to>
      <xdr:col>21</xdr:col>
      <xdr:colOff>123825</xdr:colOff>
      <xdr:row>16</xdr:row>
      <xdr:rowOff>133350</xdr:rowOff>
    </xdr:to>
    <xdr:pic>
      <xdr:nvPicPr>
        <xdr:cNvPr id="14" name="Picture 223" descr="C:\www.mathnstuff.com\gif\br1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77450" y="2381250"/>
          <a:ext cx="133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514350</xdr:colOff>
      <xdr:row>14</xdr:row>
      <xdr:rowOff>0</xdr:rowOff>
    </xdr:from>
    <xdr:to>
      <xdr:col>24</xdr:col>
      <xdr:colOff>66675</xdr:colOff>
      <xdr:row>16</xdr:row>
      <xdr:rowOff>123825</xdr:rowOff>
    </xdr:to>
    <xdr:pic>
      <xdr:nvPicPr>
        <xdr:cNvPr id="15" name="Picture 223" descr="C:\www.mathnstuff.com\gif\br1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258550" y="2371725"/>
          <a:ext cx="161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32</xdr:row>
      <xdr:rowOff>38100</xdr:rowOff>
    </xdr:from>
    <xdr:to>
      <xdr:col>18</xdr:col>
      <xdr:colOff>123825</xdr:colOff>
      <xdr:row>43</xdr:row>
      <xdr:rowOff>28575</xdr:rowOff>
    </xdr:to>
    <xdr:pic>
      <xdr:nvPicPr>
        <xdr:cNvPr id="16" name="Picture 67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67050" y="5791200"/>
          <a:ext cx="58197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0</xdr:row>
      <xdr:rowOff>104775</xdr:rowOff>
    </xdr:from>
    <xdr:to>
      <xdr:col>17</xdr:col>
      <xdr:colOff>371475</xdr:colOff>
      <xdr:row>7</xdr:row>
      <xdr:rowOff>114300</xdr:rowOff>
    </xdr:to>
    <xdr:pic>
      <xdr:nvPicPr>
        <xdr:cNvPr id="17" name="Picture 6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38950" y="104775"/>
          <a:ext cx="18192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14</xdr:row>
      <xdr:rowOff>47625</xdr:rowOff>
    </xdr:from>
    <xdr:to>
      <xdr:col>5</xdr:col>
      <xdr:colOff>38100</xdr:colOff>
      <xdr:row>17</xdr:row>
      <xdr:rowOff>19050</xdr:rowOff>
    </xdr:to>
    <xdr:pic>
      <xdr:nvPicPr>
        <xdr:cNvPr id="1" name="Picture 2" descr="C:\www.mathnstuff.com\math\spoken\here\2class\90\ht07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2857500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15</xdr:row>
      <xdr:rowOff>161925</xdr:rowOff>
    </xdr:from>
    <xdr:to>
      <xdr:col>7</xdr:col>
      <xdr:colOff>619125</xdr:colOff>
      <xdr:row>20</xdr:row>
      <xdr:rowOff>104775</xdr:rowOff>
    </xdr:to>
    <xdr:pic>
      <xdr:nvPicPr>
        <xdr:cNvPr id="2" name="Picture 5" descr="C:\www.mathnstuff.com\gif\sq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3209925"/>
          <a:ext cx="600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21</xdr:row>
      <xdr:rowOff>180975</xdr:rowOff>
    </xdr:from>
    <xdr:to>
      <xdr:col>10</xdr:col>
      <xdr:colOff>19050</xdr:colOff>
      <xdr:row>25</xdr:row>
      <xdr:rowOff>9525</xdr:rowOff>
    </xdr:to>
    <xdr:pic>
      <xdr:nvPicPr>
        <xdr:cNvPr id="3" name="Picture 5" descr="C:\www.mathnstuff.com\gif\sq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4514850"/>
          <a:ext cx="352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542925</xdr:colOff>
      <xdr:row>1</xdr:row>
      <xdr:rowOff>47625</xdr:rowOff>
    </xdr:from>
    <xdr:to>
      <xdr:col>13</xdr:col>
      <xdr:colOff>28575</xdr:colOff>
      <xdr:row>6</xdr:row>
      <xdr:rowOff>152400</xdr:rowOff>
    </xdr:to>
    <xdr:pic>
      <xdr:nvPicPr>
        <xdr:cNvPr id="4" name="Picture 58" descr="C:\www.mathnstuff.com\math\spoken\here\2class\90\ht07d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209550"/>
          <a:ext cx="1857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7</xdr:row>
      <xdr:rowOff>0</xdr:rowOff>
    </xdr:from>
    <xdr:to>
      <xdr:col>13</xdr:col>
      <xdr:colOff>333375</xdr:colOff>
      <xdr:row>12</xdr:row>
      <xdr:rowOff>76200</xdr:rowOff>
    </xdr:to>
    <xdr:pic>
      <xdr:nvPicPr>
        <xdr:cNvPr id="5" name="Picture 59" descr="C:\www.mathnstuff.com\math\spoken\here\2class\90\ht07c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33925" y="1371600"/>
          <a:ext cx="2305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20</xdr:row>
      <xdr:rowOff>19050</xdr:rowOff>
    </xdr:from>
    <xdr:to>
      <xdr:col>5</xdr:col>
      <xdr:colOff>400050</xdr:colOff>
      <xdr:row>26</xdr:row>
      <xdr:rowOff>0</xdr:rowOff>
    </xdr:to>
    <xdr:pic>
      <xdr:nvPicPr>
        <xdr:cNvPr id="6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3875" y="4143375"/>
          <a:ext cx="2800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27</xdr:row>
      <xdr:rowOff>0</xdr:rowOff>
    </xdr:from>
    <xdr:to>
      <xdr:col>5</xdr:col>
      <xdr:colOff>38100</xdr:colOff>
      <xdr:row>29</xdr:row>
      <xdr:rowOff>133350</xdr:rowOff>
    </xdr:to>
    <xdr:pic>
      <xdr:nvPicPr>
        <xdr:cNvPr id="7" name="Picture 2" descr="C:\www.mathnstuff.com\math\spoken\here\2class\90\ht07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5391150"/>
          <a:ext cx="1524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1</xdr:row>
      <xdr:rowOff>57150</xdr:rowOff>
    </xdr:from>
    <xdr:to>
      <xdr:col>12</xdr:col>
      <xdr:colOff>361950</xdr:colOff>
      <xdr:row>3</xdr:row>
      <xdr:rowOff>190500</xdr:rowOff>
    </xdr:to>
    <xdr:pic>
      <xdr:nvPicPr>
        <xdr:cNvPr id="1" name="Picture 1" descr="C:\www.mathnstuff.com\math\spoken\here\2class\90\ht04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247650"/>
          <a:ext cx="2857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17</xdr:row>
      <xdr:rowOff>133350</xdr:rowOff>
    </xdr:from>
    <xdr:to>
      <xdr:col>9</xdr:col>
      <xdr:colOff>114300</xdr:colOff>
      <xdr:row>21</xdr:row>
      <xdr:rowOff>219075</xdr:rowOff>
    </xdr:to>
    <xdr:pic>
      <xdr:nvPicPr>
        <xdr:cNvPr id="2" name="Picture 2" descr="C:\www.mathnstuff.com\math\spoken\here\2class\90\ht04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3743325"/>
          <a:ext cx="1428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12</xdr:row>
      <xdr:rowOff>190500</xdr:rowOff>
    </xdr:from>
    <xdr:to>
      <xdr:col>8</xdr:col>
      <xdr:colOff>523875</xdr:colOff>
      <xdr:row>17</xdr:row>
      <xdr:rowOff>95250</xdr:rowOff>
    </xdr:to>
    <xdr:pic>
      <xdr:nvPicPr>
        <xdr:cNvPr id="3" name="Picture 5" descr="C:\www.mathnstuff.com\gif\sq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2724150"/>
          <a:ext cx="457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7</xdr:row>
      <xdr:rowOff>200025</xdr:rowOff>
    </xdr:from>
    <xdr:to>
      <xdr:col>7</xdr:col>
      <xdr:colOff>361950</xdr:colOff>
      <xdr:row>10</xdr:row>
      <xdr:rowOff>47625</xdr:rowOff>
    </xdr:to>
    <xdr:pic>
      <xdr:nvPicPr>
        <xdr:cNvPr id="4" name="Picture 5" descr="C:\www.mathnstuff.com\gif\sq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1657350"/>
          <a:ext cx="381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16</xdr:row>
      <xdr:rowOff>133350</xdr:rowOff>
    </xdr:from>
    <xdr:to>
      <xdr:col>6</xdr:col>
      <xdr:colOff>114300</xdr:colOff>
      <xdr:row>29</xdr:row>
      <xdr:rowOff>85725</xdr:rowOff>
    </xdr:to>
    <xdr:graphicFrame>
      <xdr:nvGraphicFramePr>
        <xdr:cNvPr id="5" name="Chart 13"/>
        <xdr:cNvGraphicFramePr/>
      </xdr:nvGraphicFramePr>
      <xdr:xfrm>
        <a:off x="190500" y="3543300"/>
        <a:ext cx="35623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9</xdr:row>
      <xdr:rowOff>57150</xdr:rowOff>
    </xdr:from>
    <xdr:to>
      <xdr:col>6</xdr:col>
      <xdr:colOff>981075</xdr:colOff>
      <xdr:row>12</xdr:row>
      <xdr:rowOff>114300</xdr:rowOff>
    </xdr:to>
    <xdr:pic>
      <xdr:nvPicPr>
        <xdr:cNvPr id="1" name="Picture 1" descr="ht13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1514475"/>
          <a:ext cx="876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15</xdr:row>
      <xdr:rowOff>152400</xdr:rowOff>
    </xdr:from>
    <xdr:to>
      <xdr:col>11</xdr:col>
      <xdr:colOff>514350</xdr:colOff>
      <xdr:row>19</xdr:row>
      <xdr:rowOff>57150</xdr:rowOff>
    </xdr:to>
    <xdr:pic>
      <xdr:nvPicPr>
        <xdr:cNvPr id="2" name="Picture 2" descr="ht13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2600325"/>
          <a:ext cx="1000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2</xdr:row>
      <xdr:rowOff>114300</xdr:rowOff>
    </xdr:from>
    <xdr:to>
      <xdr:col>11</xdr:col>
      <xdr:colOff>238125</xdr:colOff>
      <xdr:row>6</xdr:row>
      <xdr:rowOff>95250</xdr:rowOff>
    </xdr:to>
    <xdr:pic>
      <xdr:nvPicPr>
        <xdr:cNvPr id="3" name="Picture 3" descr="ht13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438150"/>
          <a:ext cx="1914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8</xdr:row>
      <xdr:rowOff>19050</xdr:rowOff>
    </xdr:from>
    <xdr:to>
      <xdr:col>11</xdr:col>
      <xdr:colOff>257175</xdr:colOff>
      <xdr:row>13</xdr:row>
      <xdr:rowOff>28575</xdr:rowOff>
    </xdr:to>
    <xdr:pic>
      <xdr:nvPicPr>
        <xdr:cNvPr id="4" name="Picture 5" descr="ht13d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53225" y="1314450"/>
          <a:ext cx="1819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104775</xdr:colOff>
      <xdr:row>14</xdr:row>
      <xdr:rowOff>57150</xdr:rowOff>
    </xdr:from>
    <xdr:to>
      <xdr:col>21</xdr:col>
      <xdr:colOff>1381125</xdr:colOff>
      <xdr:row>17</xdr:row>
      <xdr:rowOff>76200</xdr:rowOff>
    </xdr:to>
    <xdr:pic>
      <xdr:nvPicPr>
        <xdr:cNvPr id="5" name="Picture 10" descr="ht13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58950" y="2333625"/>
          <a:ext cx="1276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16</xdr:row>
      <xdr:rowOff>76200</xdr:rowOff>
    </xdr:from>
    <xdr:to>
      <xdr:col>26</xdr:col>
      <xdr:colOff>276225</xdr:colOff>
      <xdr:row>19</xdr:row>
      <xdr:rowOff>57150</xdr:rowOff>
    </xdr:to>
    <xdr:pic>
      <xdr:nvPicPr>
        <xdr:cNvPr id="6" name="Picture 11" descr="ht13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69050" y="270510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</xdr:colOff>
      <xdr:row>2</xdr:row>
      <xdr:rowOff>38100</xdr:rowOff>
    </xdr:from>
    <xdr:to>
      <xdr:col>26</xdr:col>
      <xdr:colOff>190500</xdr:colOff>
      <xdr:row>7</xdr:row>
      <xdr:rowOff>0</xdr:rowOff>
    </xdr:to>
    <xdr:pic>
      <xdr:nvPicPr>
        <xdr:cNvPr id="7" name="Picture 12" descr="ht13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16550" y="361950"/>
          <a:ext cx="1800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66675</xdr:colOff>
      <xdr:row>8</xdr:row>
      <xdr:rowOff>28575</xdr:rowOff>
    </xdr:from>
    <xdr:to>
      <xdr:col>25</xdr:col>
      <xdr:colOff>628650</xdr:colOff>
      <xdr:row>13</xdr:row>
      <xdr:rowOff>133350</xdr:rowOff>
    </xdr:to>
    <xdr:pic>
      <xdr:nvPicPr>
        <xdr:cNvPr id="8" name="Picture 13" descr="ht13d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78450" y="1323975"/>
          <a:ext cx="1590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21</xdr:row>
      <xdr:rowOff>142875</xdr:rowOff>
    </xdr:from>
    <xdr:to>
      <xdr:col>4</xdr:col>
      <xdr:colOff>19050</xdr:colOff>
      <xdr:row>29</xdr:row>
      <xdr:rowOff>28575</xdr:rowOff>
    </xdr:to>
    <xdr:pic>
      <xdr:nvPicPr>
        <xdr:cNvPr id="9" name="Picture 2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648075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24</xdr:row>
      <xdr:rowOff>133350</xdr:rowOff>
    </xdr:from>
    <xdr:to>
      <xdr:col>18</xdr:col>
      <xdr:colOff>247650</xdr:colOff>
      <xdr:row>34</xdr:row>
      <xdr:rowOff>85725</xdr:rowOff>
    </xdr:to>
    <xdr:pic>
      <xdr:nvPicPr>
        <xdr:cNvPr id="10" name="Picture 2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01450" y="4152900"/>
          <a:ext cx="14287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34</xdr:row>
      <xdr:rowOff>104775</xdr:rowOff>
    </xdr:from>
    <xdr:to>
      <xdr:col>13</xdr:col>
      <xdr:colOff>285750</xdr:colOff>
      <xdr:row>41</xdr:row>
      <xdr:rowOff>104775</xdr:rowOff>
    </xdr:to>
    <xdr:pic>
      <xdr:nvPicPr>
        <xdr:cNvPr id="11" name="Picture 2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38925" y="5762625"/>
          <a:ext cx="3181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9525</xdr:colOff>
      <xdr:row>8</xdr:row>
      <xdr:rowOff>152400</xdr:rowOff>
    </xdr:from>
    <xdr:to>
      <xdr:col>17</xdr:col>
      <xdr:colOff>590550</xdr:colOff>
      <xdr:row>11</xdr:row>
      <xdr:rowOff>133350</xdr:rowOff>
    </xdr:to>
    <xdr:pic>
      <xdr:nvPicPr>
        <xdr:cNvPr id="1" name="Picture 6" descr="mean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476375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1171575</xdr:colOff>
      <xdr:row>23</xdr:row>
      <xdr:rowOff>47625</xdr:rowOff>
    </xdr:from>
    <xdr:to>
      <xdr:col>5</xdr:col>
      <xdr:colOff>1085850</xdr:colOff>
      <xdr:row>28</xdr:row>
      <xdr:rowOff>142875</xdr:rowOff>
    </xdr:to>
    <xdr:pic>
      <xdr:nvPicPr>
        <xdr:cNvPr id="2" name="Picture 7" descr="stdev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3705225"/>
          <a:ext cx="1962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3</xdr:row>
      <xdr:rowOff>57150</xdr:rowOff>
    </xdr:from>
    <xdr:to>
      <xdr:col>17</xdr:col>
      <xdr:colOff>381000</xdr:colOff>
      <xdr:row>5</xdr:row>
      <xdr:rowOff>9525</xdr:rowOff>
    </xdr:to>
    <xdr:pic>
      <xdr:nvPicPr>
        <xdr:cNvPr id="3" name="Picture 8" descr="AZ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6096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3</xdr:row>
      <xdr:rowOff>47625</xdr:rowOff>
    </xdr:from>
    <xdr:to>
      <xdr:col>18</xdr:col>
      <xdr:colOff>333375</xdr:colOff>
      <xdr:row>5</xdr:row>
      <xdr:rowOff>0</xdr:rowOff>
    </xdr:to>
    <xdr:pic>
      <xdr:nvPicPr>
        <xdr:cNvPr id="4" name="Picture 9" descr="AZ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77400" y="6000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30</xdr:row>
      <xdr:rowOff>95250</xdr:rowOff>
    </xdr:from>
    <xdr:to>
      <xdr:col>9</xdr:col>
      <xdr:colOff>1019175</xdr:colOff>
      <xdr:row>37</xdr:row>
      <xdr:rowOff>38100</xdr:rowOff>
    </xdr:to>
    <xdr:pic>
      <xdr:nvPicPr>
        <xdr:cNvPr id="5" name="Picture 10" descr="xlin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4829175"/>
          <a:ext cx="5334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7</xdr:row>
      <xdr:rowOff>9525</xdr:rowOff>
    </xdr:from>
    <xdr:to>
      <xdr:col>26</xdr:col>
      <xdr:colOff>409575</xdr:colOff>
      <xdr:row>13</xdr:row>
      <xdr:rowOff>152400</xdr:rowOff>
    </xdr:to>
    <xdr:pic>
      <xdr:nvPicPr>
        <xdr:cNvPr id="6" name="Picture 2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29900" y="1181100"/>
          <a:ext cx="3457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523875</xdr:colOff>
      <xdr:row>4</xdr:row>
      <xdr:rowOff>57150</xdr:rowOff>
    </xdr:from>
    <xdr:to>
      <xdr:col>15</xdr:col>
      <xdr:colOff>485775</xdr:colOff>
      <xdr:row>26</xdr:row>
      <xdr:rowOff>123825</xdr:rowOff>
    </xdr:to>
    <xdr:pic>
      <xdr:nvPicPr>
        <xdr:cNvPr id="1" name="Picture 6" descr="zsp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800100"/>
          <a:ext cx="4524375" cy="452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6</xdr:row>
      <xdr:rowOff>38100</xdr:rowOff>
    </xdr:from>
    <xdr:to>
      <xdr:col>5</xdr:col>
      <xdr:colOff>419100</xdr:colOff>
      <xdr:row>8</xdr:row>
      <xdr:rowOff>104775</xdr:rowOff>
    </xdr:to>
    <xdr:pic>
      <xdr:nvPicPr>
        <xdr:cNvPr id="2" name="Picture 7" descr="z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1190625"/>
          <a:ext cx="771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10</xdr:row>
      <xdr:rowOff>28575</xdr:rowOff>
    </xdr:from>
    <xdr:to>
      <xdr:col>7</xdr:col>
      <xdr:colOff>161925</xdr:colOff>
      <xdr:row>19</xdr:row>
      <xdr:rowOff>76200</xdr:rowOff>
    </xdr:to>
    <xdr:pic>
      <xdr:nvPicPr>
        <xdr:cNvPr id="3" name="Picture 14" descr="Snoli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2000250"/>
          <a:ext cx="36957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23</xdr:row>
      <xdr:rowOff>95250</xdr:rowOff>
    </xdr:from>
    <xdr:to>
      <xdr:col>5</xdr:col>
      <xdr:colOff>352425</xdr:colOff>
      <xdr:row>24</xdr:row>
      <xdr:rowOff>76200</xdr:rowOff>
    </xdr:to>
    <xdr:pic>
      <xdr:nvPicPr>
        <xdr:cNvPr id="4" name="Picture 18" descr="xi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0" y="4676775"/>
          <a:ext cx="809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7</xdr:row>
      <xdr:rowOff>19050</xdr:rowOff>
    </xdr:from>
    <xdr:to>
      <xdr:col>13</xdr:col>
      <xdr:colOff>361950</xdr:colOff>
      <xdr:row>8</xdr:row>
      <xdr:rowOff>114300</xdr:rowOff>
    </xdr:to>
    <xdr:pic>
      <xdr:nvPicPr>
        <xdr:cNvPr id="1" name="Picture 1" descr="A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2096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523875</xdr:colOff>
      <xdr:row>7</xdr:row>
      <xdr:rowOff>19050</xdr:rowOff>
    </xdr:from>
    <xdr:to>
      <xdr:col>13</xdr:col>
      <xdr:colOff>781050</xdr:colOff>
      <xdr:row>8</xdr:row>
      <xdr:rowOff>114300</xdr:rowOff>
    </xdr:to>
    <xdr:pic>
      <xdr:nvPicPr>
        <xdr:cNvPr id="2" name="Picture 2" descr="A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2096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13</xdr:row>
      <xdr:rowOff>28575</xdr:rowOff>
    </xdr:from>
    <xdr:to>
      <xdr:col>18</xdr:col>
      <xdr:colOff>19050</xdr:colOff>
      <xdr:row>37</xdr:row>
      <xdr:rowOff>152400</xdr:rowOff>
    </xdr:to>
    <xdr:pic>
      <xdr:nvPicPr>
        <xdr:cNvPr id="3" name="Picture 3" descr="sta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2190750"/>
          <a:ext cx="579120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5</xdr:row>
      <xdr:rowOff>19050</xdr:rowOff>
    </xdr:from>
    <xdr:to>
      <xdr:col>5</xdr:col>
      <xdr:colOff>419100</xdr:colOff>
      <xdr:row>13</xdr:row>
      <xdr:rowOff>0</xdr:rowOff>
    </xdr:to>
    <xdr:pic>
      <xdr:nvPicPr>
        <xdr:cNvPr id="1" name="Picture 1" descr="z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885825"/>
          <a:ext cx="2609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25</xdr:row>
      <xdr:rowOff>9525</xdr:rowOff>
    </xdr:from>
    <xdr:to>
      <xdr:col>6</xdr:col>
      <xdr:colOff>238125</xdr:colOff>
      <xdr:row>32</xdr:row>
      <xdr:rowOff>0</xdr:rowOff>
    </xdr:to>
    <xdr:pic>
      <xdr:nvPicPr>
        <xdr:cNvPr id="2" name="Picture 3" descr="belo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4152900"/>
          <a:ext cx="2524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4</xdr:row>
      <xdr:rowOff>28575</xdr:rowOff>
    </xdr:from>
    <xdr:to>
      <xdr:col>7</xdr:col>
      <xdr:colOff>419100</xdr:colOff>
      <xdr:row>6</xdr:row>
      <xdr:rowOff>123825</xdr:rowOff>
    </xdr:to>
    <xdr:pic>
      <xdr:nvPicPr>
        <xdr:cNvPr id="3" name="Picture 4" descr="arrow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733425"/>
          <a:ext cx="676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0</xdr:row>
      <xdr:rowOff>47625</xdr:rowOff>
    </xdr:from>
    <xdr:to>
      <xdr:col>15</xdr:col>
      <xdr:colOff>476250</xdr:colOff>
      <xdr:row>38</xdr:row>
      <xdr:rowOff>114300</xdr:rowOff>
    </xdr:to>
    <xdr:pic>
      <xdr:nvPicPr>
        <xdr:cNvPr id="4" name="Picture 5" descr="ztab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47625"/>
          <a:ext cx="4581525" cy="633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333375</xdr:colOff>
      <xdr:row>25</xdr:row>
      <xdr:rowOff>85725</xdr:rowOff>
    </xdr:from>
    <xdr:to>
      <xdr:col>28</xdr:col>
      <xdr:colOff>104775</xdr:colOff>
      <xdr:row>30</xdr:row>
      <xdr:rowOff>171450</xdr:rowOff>
    </xdr:to>
    <xdr:pic>
      <xdr:nvPicPr>
        <xdr:cNvPr id="1" name="Picture 8" descr="bel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4857750"/>
          <a:ext cx="2524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342900</xdr:colOff>
      <xdr:row>35</xdr:row>
      <xdr:rowOff>57150</xdr:rowOff>
    </xdr:from>
    <xdr:to>
      <xdr:col>28</xdr:col>
      <xdr:colOff>114300</xdr:colOff>
      <xdr:row>40</xdr:row>
      <xdr:rowOff>180975</xdr:rowOff>
    </xdr:to>
    <xdr:pic>
      <xdr:nvPicPr>
        <xdr:cNvPr id="2" name="Picture 9" descr="abov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54125" y="6867525"/>
          <a:ext cx="2524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257175</xdr:colOff>
      <xdr:row>45</xdr:row>
      <xdr:rowOff>95250</xdr:rowOff>
    </xdr:from>
    <xdr:to>
      <xdr:col>28</xdr:col>
      <xdr:colOff>114300</xdr:colOff>
      <xdr:row>51</xdr:row>
      <xdr:rowOff>171450</xdr:rowOff>
    </xdr:to>
    <xdr:pic>
      <xdr:nvPicPr>
        <xdr:cNvPr id="3" name="Picture 10" descr="betwe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68400" y="8905875"/>
          <a:ext cx="2609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</xdr:row>
      <xdr:rowOff>66675</xdr:rowOff>
    </xdr:from>
    <xdr:to>
      <xdr:col>4</xdr:col>
      <xdr:colOff>752475</xdr:colOff>
      <xdr:row>8</xdr:row>
      <xdr:rowOff>190500</xdr:rowOff>
    </xdr:to>
    <xdr:pic>
      <xdr:nvPicPr>
        <xdr:cNvPr id="4" name="Picture 11" descr="bel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52450"/>
          <a:ext cx="2524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3</xdr:row>
      <xdr:rowOff>76200</xdr:rowOff>
    </xdr:from>
    <xdr:to>
      <xdr:col>10</xdr:col>
      <xdr:colOff>152400</xdr:colOff>
      <xdr:row>9</xdr:row>
      <xdr:rowOff>0</xdr:rowOff>
    </xdr:to>
    <xdr:pic>
      <xdr:nvPicPr>
        <xdr:cNvPr id="5" name="Picture 12" descr="abov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561975"/>
          <a:ext cx="2524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1</xdr:row>
      <xdr:rowOff>190500</xdr:rowOff>
    </xdr:from>
    <xdr:to>
      <xdr:col>16</xdr:col>
      <xdr:colOff>142875</xdr:colOff>
      <xdr:row>8</xdr:row>
      <xdr:rowOff>190500</xdr:rowOff>
    </xdr:to>
    <xdr:pic>
      <xdr:nvPicPr>
        <xdr:cNvPr id="6" name="Picture 13" descr="betwe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86525" y="400050"/>
          <a:ext cx="2609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76200</xdr:rowOff>
    </xdr:from>
    <xdr:to>
      <xdr:col>4</xdr:col>
      <xdr:colOff>695325</xdr:colOff>
      <xdr:row>24</xdr:row>
      <xdr:rowOff>0</xdr:rowOff>
    </xdr:to>
    <xdr:pic>
      <xdr:nvPicPr>
        <xdr:cNvPr id="7" name="Picture 15" descr="bel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38525"/>
          <a:ext cx="2524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18</xdr:row>
      <xdr:rowOff>85725</xdr:rowOff>
    </xdr:from>
    <xdr:to>
      <xdr:col>10</xdr:col>
      <xdr:colOff>114300</xdr:colOff>
      <xdr:row>24</xdr:row>
      <xdr:rowOff>9525</xdr:rowOff>
    </xdr:to>
    <xdr:pic>
      <xdr:nvPicPr>
        <xdr:cNvPr id="8" name="Picture 16" descr="abov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3448050"/>
          <a:ext cx="2524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104775</xdr:rowOff>
    </xdr:from>
    <xdr:to>
      <xdr:col>17</xdr:col>
      <xdr:colOff>295275</xdr:colOff>
      <xdr:row>44</xdr:row>
      <xdr:rowOff>114300</xdr:rowOff>
    </xdr:to>
    <xdr:pic>
      <xdr:nvPicPr>
        <xdr:cNvPr id="1" name="Picture 5" descr="cspre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9525000" cy="762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47</xdr:row>
      <xdr:rowOff>66675</xdr:rowOff>
    </xdr:from>
    <xdr:to>
      <xdr:col>6</xdr:col>
      <xdr:colOff>438150</xdr:colOff>
      <xdr:row>50</xdr:row>
      <xdr:rowOff>0</xdr:rowOff>
    </xdr:to>
    <xdr:pic>
      <xdr:nvPicPr>
        <xdr:cNvPr id="2" name="Picture 6" descr="arrow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8162925"/>
          <a:ext cx="962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87</xdr:row>
      <xdr:rowOff>85725</xdr:rowOff>
    </xdr:from>
    <xdr:to>
      <xdr:col>6</xdr:col>
      <xdr:colOff>323850</xdr:colOff>
      <xdr:row>93</xdr:row>
      <xdr:rowOff>9525</xdr:rowOff>
    </xdr:to>
    <xdr:pic>
      <xdr:nvPicPr>
        <xdr:cNvPr id="3" name="Picture 7" descr="be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15268575"/>
          <a:ext cx="2524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97</xdr:row>
      <xdr:rowOff>57150</xdr:rowOff>
    </xdr:from>
    <xdr:to>
      <xdr:col>6</xdr:col>
      <xdr:colOff>333375</xdr:colOff>
      <xdr:row>102</xdr:row>
      <xdr:rowOff>180975</xdr:rowOff>
    </xdr:to>
    <xdr:pic>
      <xdr:nvPicPr>
        <xdr:cNvPr id="4" name="Picture 8" descr="abo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17240250"/>
          <a:ext cx="2524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107</xdr:row>
      <xdr:rowOff>95250</xdr:rowOff>
    </xdr:from>
    <xdr:to>
      <xdr:col>6</xdr:col>
      <xdr:colOff>333375</xdr:colOff>
      <xdr:row>113</xdr:row>
      <xdr:rowOff>171450</xdr:rowOff>
    </xdr:to>
    <xdr:pic>
      <xdr:nvPicPr>
        <xdr:cNvPr id="5" name="Picture 9" descr="betwe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" y="19278600"/>
          <a:ext cx="2609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4</xdr:row>
      <xdr:rowOff>19050</xdr:rowOff>
    </xdr:from>
    <xdr:to>
      <xdr:col>2</xdr:col>
      <xdr:colOff>752475</xdr:colOff>
      <xdr:row>9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28650"/>
          <a:ext cx="1933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15</xdr:row>
      <xdr:rowOff>0</xdr:rowOff>
    </xdr:from>
    <xdr:to>
      <xdr:col>8</xdr:col>
      <xdr:colOff>104775</xdr:colOff>
      <xdr:row>17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28875"/>
          <a:ext cx="3124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</xdr:row>
      <xdr:rowOff>0</xdr:rowOff>
    </xdr:from>
    <xdr:to>
      <xdr:col>16</xdr:col>
      <xdr:colOff>76200</xdr:colOff>
      <xdr:row>17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2428875"/>
          <a:ext cx="3124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6"/>
  <sheetViews>
    <sheetView zoomScalePageLayoutView="0" workbookViewId="0" topLeftCell="A22">
      <selection activeCell="G53" sqref="G53"/>
    </sheetView>
  </sheetViews>
  <sheetFormatPr defaultColWidth="9.140625" defaultRowHeight="12.75"/>
  <cols>
    <col min="1" max="1" width="3.421875" style="27" customWidth="1"/>
    <col min="2" max="2" width="9.140625" style="28" customWidth="1"/>
    <col min="3" max="3" width="18.7109375" style="28" customWidth="1"/>
    <col min="4" max="4" width="4.7109375" style="28" customWidth="1"/>
    <col min="5" max="11" width="9.140625" style="28" customWidth="1"/>
    <col min="12" max="12" width="13.57421875" style="28" customWidth="1"/>
    <col min="13" max="14" width="9.140625" style="28" customWidth="1"/>
    <col min="15" max="15" width="10.8515625" style="28" customWidth="1"/>
    <col min="16" max="16" width="9.140625" style="28" customWidth="1"/>
    <col min="17" max="18" width="9.140625" style="27" customWidth="1"/>
    <col min="19" max="16384" width="9.140625" style="28" customWidth="1"/>
  </cols>
  <sheetData>
    <row r="1" s="27" customFormat="1" ht="12.75"/>
    <row r="2" spans="2:16" ht="26.25">
      <c r="B2" s="1" t="s">
        <v>25</v>
      </c>
      <c r="C2" s="27"/>
      <c r="D2" s="27"/>
      <c r="E2" s="2" t="s">
        <v>272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2:16" ht="18.75" thickBot="1">
      <c r="B3" s="29"/>
      <c r="C3" s="29"/>
      <c r="D3" s="29"/>
      <c r="E3" s="2"/>
      <c r="F3" s="29"/>
      <c r="G3" s="29"/>
      <c r="H3" s="29"/>
      <c r="I3" s="29"/>
      <c r="J3" s="29"/>
      <c r="K3" s="29"/>
      <c r="L3" s="26"/>
      <c r="M3" s="29"/>
      <c r="N3" s="29"/>
      <c r="O3" s="4"/>
      <c r="P3" s="27"/>
    </row>
    <row r="4" spans="1:18" s="36" customFormat="1" ht="21" thickBot="1">
      <c r="A4" s="30"/>
      <c r="B4" s="29"/>
      <c r="C4" s="31" t="s">
        <v>115</v>
      </c>
      <c r="D4" s="33"/>
      <c r="E4" s="32"/>
      <c r="F4" s="32"/>
      <c r="G4" s="32"/>
      <c r="H4" s="32"/>
      <c r="I4" s="32"/>
      <c r="J4" s="34"/>
      <c r="K4" s="115"/>
      <c r="L4" s="34"/>
      <c r="M4" s="32"/>
      <c r="N4" s="32"/>
      <c r="O4" s="32"/>
      <c r="P4" s="116"/>
      <c r="Q4" s="4"/>
      <c r="R4" s="4"/>
    </row>
    <row r="5" spans="1:18" s="36" customFormat="1" ht="18">
      <c r="A5" s="30"/>
      <c r="B5" s="29"/>
      <c r="C5" s="29"/>
      <c r="D5" s="29"/>
      <c r="E5" s="2"/>
      <c r="F5" s="29"/>
      <c r="G5" s="29"/>
      <c r="H5" s="29"/>
      <c r="I5" s="29"/>
      <c r="J5" s="29"/>
      <c r="K5" s="29"/>
      <c r="L5" s="35"/>
      <c r="M5" s="29"/>
      <c r="N5" s="29"/>
      <c r="O5" s="4"/>
      <c r="P5" s="30"/>
      <c r="Q5" s="4"/>
      <c r="R5" s="4"/>
    </row>
    <row r="6" spans="1:18" s="36" customFormat="1" ht="18.75" thickBot="1">
      <c r="A6" s="30"/>
      <c r="B6" s="4"/>
      <c r="C6" s="81" t="s">
        <v>13</v>
      </c>
      <c r="D6" s="77"/>
      <c r="E6" s="78" t="s">
        <v>14</v>
      </c>
      <c r="F6" s="78"/>
      <c r="G6" s="77"/>
      <c r="H6" s="77"/>
      <c r="I6" s="77"/>
      <c r="J6" s="77"/>
      <c r="K6" s="77"/>
      <c r="L6" s="79"/>
      <c r="M6" s="77"/>
      <c r="N6" s="77"/>
      <c r="O6" s="4"/>
      <c r="P6" s="30"/>
      <c r="Q6" s="4"/>
      <c r="R6" s="4"/>
    </row>
    <row r="7" spans="1:18" s="36" customFormat="1" ht="18">
      <c r="A7" s="30"/>
      <c r="B7" s="4"/>
      <c r="C7" s="37" t="s">
        <v>24</v>
      </c>
      <c r="D7" s="37" t="s">
        <v>15</v>
      </c>
      <c r="E7" s="4" t="s">
        <v>26</v>
      </c>
      <c r="F7" s="4"/>
      <c r="G7" s="27"/>
      <c r="H7" s="27"/>
      <c r="I7" s="27"/>
      <c r="J7" s="27"/>
      <c r="K7" s="27"/>
      <c r="L7" s="27"/>
      <c r="M7" s="27"/>
      <c r="N7" s="27"/>
      <c r="O7" s="27"/>
      <c r="P7" s="30"/>
      <c r="Q7" s="4"/>
      <c r="R7" s="4"/>
    </row>
    <row r="8" spans="2:16" ht="15.75">
      <c r="B8" s="3"/>
      <c r="C8" s="80"/>
      <c r="D8" s="4"/>
      <c r="E8" s="3"/>
      <c r="F8" s="4"/>
      <c r="G8" s="4"/>
      <c r="H8" s="4"/>
      <c r="I8" s="4"/>
      <c r="J8" s="4"/>
      <c r="K8" s="4"/>
      <c r="L8" s="27"/>
      <c r="M8" s="4"/>
      <c r="N8" s="4"/>
      <c r="O8" s="4"/>
      <c r="P8" s="27"/>
    </row>
    <row r="9" spans="2:16" ht="15.75">
      <c r="B9" s="37"/>
      <c r="C9" s="37" t="s">
        <v>34</v>
      </c>
      <c r="D9" s="37" t="s">
        <v>15</v>
      </c>
      <c r="E9" s="3" t="s">
        <v>35</v>
      </c>
      <c r="F9" s="4"/>
      <c r="G9" s="4"/>
      <c r="H9" s="4"/>
      <c r="I9" s="29"/>
      <c r="J9" s="29"/>
      <c r="K9" s="4"/>
      <c r="L9" s="27"/>
      <c r="M9" s="4"/>
      <c r="N9" s="4"/>
      <c r="O9" s="4"/>
      <c r="P9" s="27"/>
    </row>
    <row r="10" spans="1:18" s="36" customFormat="1" ht="18">
      <c r="A10" s="30"/>
      <c r="B10" s="37"/>
      <c r="C10" s="37"/>
      <c r="D10" s="4"/>
      <c r="E10" s="3"/>
      <c r="F10" s="4"/>
      <c r="G10" s="4"/>
      <c r="H10" s="4"/>
      <c r="I10" s="38"/>
      <c r="J10" s="29"/>
      <c r="K10" s="4"/>
      <c r="L10" s="27"/>
      <c r="M10" s="4"/>
      <c r="N10" s="4"/>
      <c r="O10" s="4"/>
      <c r="P10" s="30"/>
      <c r="Q10" s="4"/>
      <c r="R10" s="4"/>
    </row>
    <row r="11" spans="2:16" ht="15.75">
      <c r="B11" s="37"/>
      <c r="C11" s="37" t="s">
        <v>42</v>
      </c>
      <c r="D11" s="37" t="s">
        <v>15</v>
      </c>
      <c r="E11" s="3" t="s">
        <v>43</v>
      </c>
      <c r="F11" s="4"/>
      <c r="G11" s="4"/>
      <c r="H11" s="4"/>
      <c r="I11" s="29"/>
      <c r="J11" s="29"/>
      <c r="K11" s="4"/>
      <c r="L11" s="27"/>
      <c r="M11" s="4"/>
      <c r="N11" s="4"/>
      <c r="O11" s="4"/>
      <c r="P11" s="27"/>
    </row>
    <row r="12" spans="2:16" ht="15.75">
      <c r="B12" s="37"/>
      <c r="C12" s="37"/>
      <c r="D12" s="37" t="s">
        <v>15</v>
      </c>
      <c r="E12" s="3" t="s">
        <v>64</v>
      </c>
      <c r="F12" s="4"/>
      <c r="G12" s="4"/>
      <c r="H12" s="4"/>
      <c r="I12" s="29"/>
      <c r="J12" s="29"/>
      <c r="K12" s="4"/>
      <c r="L12" s="27"/>
      <c r="M12" s="4"/>
      <c r="N12" s="4"/>
      <c r="O12" s="4"/>
      <c r="P12" s="27"/>
    </row>
    <row r="13" s="27" customFormat="1" ht="12.75">
      <c r="C13" s="80"/>
    </row>
    <row r="14" spans="2:16" ht="15.75">
      <c r="B14" s="37"/>
      <c r="C14" s="37" t="s">
        <v>16</v>
      </c>
      <c r="D14" s="37" t="s">
        <v>15</v>
      </c>
      <c r="E14" s="3" t="s">
        <v>47</v>
      </c>
      <c r="F14" s="4"/>
      <c r="G14" s="4"/>
      <c r="H14" s="4"/>
      <c r="I14" s="29"/>
      <c r="J14" s="29"/>
      <c r="K14" s="4"/>
      <c r="L14" s="27"/>
      <c r="M14" s="4"/>
      <c r="N14" s="4"/>
      <c r="O14" s="4"/>
      <c r="P14" s="27"/>
    </row>
    <row r="15" spans="2:16" ht="15.75">
      <c r="B15" s="37"/>
      <c r="C15" s="37"/>
      <c r="D15" s="4"/>
      <c r="E15" s="3"/>
      <c r="F15" s="4"/>
      <c r="G15" s="4"/>
      <c r="H15" s="4"/>
      <c r="I15" s="29"/>
      <c r="J15" s="29"/>
      <c r="K15" s="4"/>
      <c r="L15" s="27"/>
      <c r="M15" s="4"/>
      <c r="N15" s="4"/>
      <c r="O15" s="4"/>
      <c r="P15" s="27"/>
    </row>
    <row r="16" spans="2:16" ht="15.75">
      <c r="B16" s="37"/>
      <c r="C16" s="37" t="s">
        <v>17</v>
      </c>
      <c r="D16" s="4"/>
      <c r="E16" s="3" t="s">
        <v>27</v>
      </c>
      <c r="F16" s="4"/>
      <c r="G16" s="4"/>
      <c r="H16" s="4"/>
      <c r="I16" s="29"/>
      <c r="J16" s="29"/>
      <c r="K16" s="4"/>
      <c r="L16" s="27"/>
      <c r="M16" s="4"/>
      <c r="N16" s="4"/>
      <c r="O16" s="4"/>
      <c r="P16" s="27"/>
    </row>
    <row r="17" spans="2:16" ht="15.75">
      <c r="B17" s="37"/>
      <c r="C17" s="37"/>
      <c r="D17" s="4"/>
      <c r="E17" s="3"/>
      <c r="F17" s="4"/>
      <c r="G17" s="4"/>
      <c r="H17" s="4"/>
      <c r="I17" s="29"/>
      <c r="J17" s="29"/>
      <c r="K17" s="4"/>
      <c r="L17" s="27"/>
      <c r="M17" s="4"/>
      <c r="N17" s="4"/>
      <c r="O17" s="4"/>
      <c r="P17" s="27"/>
    </row>
    <row r="18" spans="1:18" s="36" customFormat="1" ht="18">
      <c r="A18" s="30"/>
      <c r="B18" s="37"/>
      <c r="C18" s="37" t="s">
        <v>33</v>
      </c>
      <c r="D18" s="37" t="s">
        <v>15</v>
      </c>
      <c r="E18" s="3" t="s">
        <v>78</v>
      </c>
      <c r="F18" s="4"/>
      <c r="G18" s="4"/>
      <c r="H18" s="4"/>
      <c r="I18" s="38"/>
      <c r="J18" s="29"/>
      <c r="K18" s="4"/>
      <c r="L18" s="27"/>
      <c r="M18" s="4"/>
      <c r="N18" s="4"/>
      <c r="O18" s="4"/>
      <c r="P18" s="30"/>
      <c r="Q18" s="4"/>
      <c r="R18" s="4"/>
    </row>
    <row r="19" spans="1:18" s="36" customFormat="1" ht="18">
      <c r="A19" s="30"/>
      <c r="B19" s="37"/>
      <c r="C19" s="37"/>
      <c r="D19" s="37" t="s">
        <v>15</v>
      </c>
      <c r="E19" s="3" t="s">
        <v>77</v>
      </c>
      <c r="F19" s="4"/>
      <c r="G19" s="4"/>
      <c r="H19" s="4"/>
      <c r="I19" s="38"/>
      <c r="J19" s="29"/>
      <c r="K19" s="4"/>
      <c r="L19" s="27"/>
      <c r="M19" s="4"/>
      <c r="N19" s="4"/>
      <c r="O19" s="4"/>
      <c r="P19" s="30"/>
      <c r="Q19" s="4"/>
      <c r="R19" s="4"/>
    </row>
    <row r="20" spans="1:18" s="36" customFormat="1" ht="18">
      <c r="A20" s="30"/>
      <c r="B20" s="37"/>
      <c r="C20" s="37"/>
      <c r="D20" s="37" t="s">
        <v>15</v>
      </c>
      <c r="E20" s="3" t="s">
        <v>122</v>
      </c>
      <c r="F20" s="4"/>
      <c r="G20" s="4"/>
      <c r="H20" s="4"/>
      <c r="I20" s="38"/>
      <c r="J20" s="29"/>
      <c r="K20" s="4"/>
      <c r="L20" s="27"/>
      <c r="M20" s="4"/>
      <c r="N20" s="4"/>
      <c r="O20" s="4"/>
      <c r="P20" s="30"/>
      <c r="Q20" s="4"/>
      <c r="R20" s="4"/>
    </row>
    <row r="21" spans="1:18" s="36" customFormat="1" ht="18">
      <c r="A21" s="30"/>
      <c r="B21" s="37"/>
      <c r="C21" s="37" t="s">
        <v>123</v>
      </c>
      <c r="D21" s="37" t="s">
        <v>15</v>
      </c>
      <c r="E21" s="3" t="s">
        <v>124</v>
      </c>
      <c r="F21" s="4"/>
      <c r="G21" s="4"/>
      <c r="H21" s="4"/>
      <c r="I21" s="38"/>
      <c r="J21" s="29"/>
      <c r="K21" s="4"/>
      <c r="L21" s="27"/>
      <c r="M21" s="4"/>
      <c r="N21" s="4"/>
      <c r="O21" s="4"/>
      <c r="P21" s="30"/>
      <c r="Q21" s="4"/>
      <c r="R21" s="4"/>
    </row>
    <row r="22" spans="1:18" s="36" customFormat="1" ht="18">
      <c r="A22" s="30"/>
      <c r="B22" s="37"/>
      <c r="C22" s="37"/>
      <c r="D22" s="4"/>
      <c r="E22" s="2"/>
      <c r="F22" s="4"/>
      <c r="G22" s="4"/>
      <c r="H22" s="4"/>
      <c r="I22" s="38"/>
      <c r="J22" s="29"/>
      <c r="K22" s="4"/>
      <c r="L22" s="27"/>
      <c r="M22" s="4"/>
      <c r="N22" s="4"/>
      <c r="O22" s="4"/>
      <c r="P22" s="30"/>
      <c r="Q22" s="4"/>
      <c r="R22" s="4"/>
    </row>
    <row r="23" spans="2:16" ht="15.75">
      <c r="B23" s="37"/>
      <c r="C23" s="37" t="s">
        <v>75</v>
      </c>
      <c r="D23" s="37" t="s">
        <v>15</v>
      </c>
      <c r="E23" s="3" t="s">
        <v>76</v>
      </c>
      <c r="F23" s="4"/>
      <c r="G23" s="4"/>
      <c r="H23" s="4"/>
      <c r="I23" s="29"/>
      <c r="J23" s="29"/>
      <c r="K23" s="4"/>
      <c r="L23" s="27"/>
      <c r="M23" s="4"/>
      <c r="N23" s="4"/>
      <c r="O23" s="4"/>
      <c r="P23" s="27"/>
    </row>
    <row r="24" spans="1:18" s="36" customFormat="1" ht="18">
      <c r="A24" s="30"/>
      <c r="B24" s="37"/>
      <c r="C24" s="37"/>
      <c r="D24" s="4"/>
      <c r="E24" s="3" t="s">
        <v>114</v>
      </c>
      <c r="F24" s="4"/>
      <c r="G24" s="4"/>
      <c r="H24" s="4"/>
      <c r="I24" s="38"/>
      <c r="J24" s="29"/>
      <c r="K24" s="4"/>
      <c r="L24" s="27"/>
      <c r="M24" s="4"/>
      <c r="N24" s="4"/>
      <c r="O24" s="4"/>
      <c r="P24" s="30"/>
      <c r="Q24" s="4"/>
      <c r="R24" s="4"/>
    </row>
    <row r="25" spans="1:18" s="36" customFormat="1" ht="18">
      <c r="A25" s="30"/>
      <c r="B25" s="37"/>
      <c r="C25" s="37"/>
      <c r="D25" s="4"/>
      <c r="E25" s="3"/>
      <c r="F25" s="4"/>
      <c r="G25" s="4"/>
      <c r="H25" s="4"/>
      <c r="I25" s="38"/>
      <c r="J25" s="29"/>
      <c r="K25" s="4"/>
      <c r="L25" s="27"/>
      <c r="M25" s="4"/>
      <c r="N25" s="4"/>
      <c r="O25" s="4"/>
      <c r="P25" s="30"/>
      <c r="Q25" s="4"/>
      <c r="R25" s="4"/>
    </row>
    <row r="26" spans="1:18" s="36" customFormat="1" ht="18">
      <c r="A26" s="30"/>
      <c r="B26" s="37"/>
      <c r="C26" s="37" t="s">
        <v>79</v>
      </c>
      <c r="D26" s="37" t="s">
        <v>15</v>
      </c>
      <c r="E26" s="3" t="s">
        <v>80</v>
      </c>
      <c r="F26" s="4"/>
      <c r="G26" s="4"/>
      <c r="H26" s="4"/>
      <c r="I26" s="38"/>
      <c r="J26" s="29"/>
      <c r="K26" s="4"/>
      <c r="L26" s="27"/>
      <c r="M26" s="4"/>
      <c r="N26" s="4"/>
      <c r="O26" s="4"/>
      <c r="P26" s="30"/>
      <c r="Q26" s="4"/>
      <c r="R26" s="4"/>
    </row>
    <row r="27" spans="2:16" ht="12.7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2:16" ht="15.75">
      <c r="B28" s="27"/>
      <c r="C28" s="37" t="s">
        <v>140</v>
      </c>
      <c r="D28" s="37" t="s">
        <v>15</v>
      </c>
      <c r="E28" s="3" t="s">
        <v>141</v>
      </c>
      <c r="F28" s="4"/>
      <c r="G28" s="4"/>
      <c r="H28" s="27"/>
      <c r="I28" s="27"/>
      <c r="J28" s="27"/>
      <c r="K28" s="27"/>
      <c r="L28" s="27"/>
      <c r="M28" s="27"/>
      <c r="N28" s="27"/>
      <c r="O28" s="27"/>
      <c r="P28" s="27"/>
    </row>
    <row r="29" spans="2:16" ht="12.7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2:16" ht="15.75">
      <c r="B30" s="27"/>
      <c r="C30" s="37" t="s">
        <v>268</v>
      </c>
      <c r="D30" s="37" t="s">
        <v>15</v>
      </c>
      <c r="E30" s="3" t="s">
        <v>269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2:16" ht="12.7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2:16" ht="15.75">
      <c r="B32" s="27"/>
      <c r="C32" s="37" t="s">
        <v>270</v>
      </c>
      <c r="D32" s="37" t="s">
        <v>15</v>
      </c>
      <c r="E32" s="3" t="s">
        <v>271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2:16" ht="15.75">
      <c r="B33" s="27"/>
      <c r="C33" s="37"/>
      <c r="D33" s="37"/>
      <c r="E33" s="3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2:16" ht="15.75">
      <c r="B34" s="27"/>
      <c r="C34" s="37" t="s">
        <v>264</v>
      </c>
      <c r="D34" s="37" t="s">
        <v>15</v>
      </c>
      <c r="E34" s="3" t="s">
        <v>265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2:16" ht="12.7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2:16" ht="15.75">
      <c r="B36" s="27"/>
      <c r="C36" s="37" t="s">
        <v>266</v>
      </c>
      <c r="D36" s="37" t="s">
        <v>15</v>
      </c>
      <c r="E36" s="3" t="s">
        <v>267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2:16" ht="12.7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2:16" ht="15.75">
      <c r="B38" s="27"/>
      <c r="C38" s="37" t="s">
        <v>316</v>
      </c>
      <c r="D38" s="37" t="s">
        <v>15</v>
      </c>
      <c r="E38" s="3" t="s">
        <v>317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2:16" ht="12.7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2:16" ht="15.75">
      <c r="B40" s="27"/>
      <c r="C40" s="37" t="s">
        <v>318</v>
      </c>
      <c r="D40" s="37" t="s">
        <v>15</v>
      </c>
      <c r="E40" s="3" t="s">
        <v>319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2:16" ht="12.7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2:16" ht="15.75">
      <c r="B42" s="27"/>
      <c r="C42" s="37" t="s">
        <v>339</v>
      </c>
      <c r="D42" s="37" t="s">
        <v>15</v>
      </c>
      <c r="E42" s="3" t="s">
        <v>340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2:16" ht="12.7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2:16" ht="15.75">
      <c r="B44" s="27"/>
      <c r="C44" s="37" t="s">
        <v>357</v>
      </c>
      <c r="D44" s="37" t="s">
        <v>15</v>
      </c>
      <c r="E44" s="3" t="s">
        <v>358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2:16" ht="12.7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2:16" ht="15.75">
      <c r="B46" s="27"/>
      <c r="C46" s="37" t="s">
        <v>425</v>
      </c>
      <c r="D46" s="37" t="s">
        <v>15</v>
      </c>
      <c r="E46" s="3" t="s">
        <v>426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16" ht="12.7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2:16" ht="15.75">
      <c r="B48" s="27"/>
      <c r="C48" s="37" t="s">
        <v>432</v>
      </c>
      <c r="D48" s="37" t="s">
        <v>15</v>
      </c>
      <c r="E48" s="3" t="s">
        <v>433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2:16" ht="12.7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2:16" ht="15.75">
      <c r="B50" s="27"/>
      <c r="C50" s="37"/>
      <c r="D50" s="37" t="s">
        <v>15</v>
      </c>
      <c r="E50" s="3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2:16" ht="12.7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2:16" ht="15.75">
      <c r="B52" s="27"/>
      <c r="C52" s="37"/>
      <c r="D52" s="37" t="s">
        <v>15</v>
      </c>
      <c r="E52" s="3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2:16" ht="12.7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2:16" ht="15.75">
      <c r="B54" s="27"/>
      <c r="C54" s="37"/>
      <c r="D54" s="37" t="s">
        <v>15</v>
      </c>
      <c r="E54" s="3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2:16" ht="12.7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2:16" ht="15.75">
      <c r="B56" s="27"/>
      <c r="C56" s="37"/>
      <c r="D56" s="37" t="s">
        <v>15</v>
      </c>
      <c r="E56" s="3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T26"/>
  <sheetViews>
    <sheetView tabSelected="1" zoomScale="76" zoomScaleNormal="76" zoomScalePageLayoutView="0" workbookViewId="0" topLeftCell="A1">
      <selection activeCell="W16" sqref="W16"/>
    </sheetView>
  </sheetViews>
  <sheetFormatPr defaultColWidth="9.140625" defaultRowHeight="12.75"/>
  <cols>
    <col min="1" max="1" width="9.140625" style="36" customWidth="1"/>
    <col min="2" max="2" width="5.00390625" style="36" customWidth="1"/>
    <col min="3" max="3" width="15.7109375" style="36" customWidth="1"/>
    <col min="4" max="4" width="10.7109375" style="36" customWidth="1"/>
    <col min="5" max="5" width="3.8515625" style="36" customWidth="1"/>
    <col min="6" max="6" width="13.421875" style="36" customWidth="1"/>
    <col min="7" max="7" width="11.8515625" style="36" customWidth="1"/>
    <col min="8" max="8" width="3.28125" style="36" customWidth="1"/>
    <col min="9" max="9" width="12.140625" style="36" customWidth="1"/>
    <col min="10" max="10" width="10.57421875" style="36" customWidth="1"/>
    <col min="11" max="11" width="3.00390625" style="36" customWidth="1"/>
    <col min="12" max="12" width="13.57421875" style="36" customWidth="1"/>
    <col min="13" max="13" width="10.57421875" style="36" customWidth="1"/>
    <col min="14" max="14" width="2.7109375" style="36" customWidth="1"/>
    <col min="15" max="15" width="12.7109375" style="36" customWidth="1"/>
    <col min="16" max="16" width="11.28125" style="36" customWidth="1"/>
    <col min="17" max="17" width="2.57421875" style="36" customWidth="1"/>
    <col min="18" max="18" width="9.8515625" style="36" customWidth="1"/>
    <col min="19" max="19" width="13.28125" style="36" customWidth="1"/>
    <col min="20" max="20" width="3.00390625" style="36" customWidth="1"/>
    <col min="21" max="16384" width="9.140625" style="36" customWidth="1"/>
  </cols>
  <sheetData>
    <row r="2" ht="15.75">
      <c r="D2" s="36" t="s">
        <v>514</v>
      </c>
    </row>
    <row r="5" spans="3:16" ht="15.75">
      <c r="C5" s="542" t="s">
        <v>502</v>
      </c>
      <c r="D5" s="542" t="s">
        <v>501</v>
      </c>
      <c r="E5" s="543"/>
      <c r="F5" s="542" t="s">
        <v>503</v>
      </c>
      <c r="G5" s="542" t="s">
        <v>504</v>
      </c>
      <c r="H5" s="543"/>
      <c r="I5" s="542" t="s">
        <v>505</v>
      </c>
      <c r="J5" s="542" t="s">
        <v>506</v>
      </c>
      <c r="K5" s="543"/>
      <c r="L5" s="542" t="s">
        <v>507</v>
      </c>
      <c r="M5" s="542" t="s">
        <v>508</v>
      </c>
      <c r="N5" s="543"/>
      <c r="O5" s="542" t="s">
        <v>509</v>
      </c>
      <c r="P5" s="542" t="s">
        <v>510</v>
      </c>
    </row>
    <row r="6" spans="3:16" ht="15.75">
      <c r="C6" s="540">
        <v>0.2</v>
      </c>
      <c r="D6" s="540">
        <v>100</v>
      </c>
      <c r="E6" s="541"/>
      <c r="F6" s="540">
        <v>0.2</v>
      </c>
      <c r="G6" s="540">
        <v>5</v>
      </c>
      <c r="H6" s="541"/>
      <c r="I6" s="540">
        <v>0.2</v>
      </c>
      <c r="J6" s="540">
        <v>-40</v>
      </c>
      <c r="K6" s="541"/>
      <c r="L6" s="540">
        <v>0.2</v>
      </c>
      <c r="M6" s="540">
        <v>30</v>
      </c>
      <c r="N6" s="541"/>
      <c r="O6" s="540">
        <v>0.2</v>
      </c>
      <c r="P6" s="540">
        <v>1000</v>
      </c>
    </row>
    <row r="7" spans="3:16" ht="15.75">
      <c r="C7" s="334"/>
      <c r="D7" s="334"/>
      <c r="E7" s="539"/>
      <c r="F7" s="334"/>
      <c r="G7" s="334"/>
      <c r="H7" s="539"/>
      <c r="I7" s="334"/>
      <c r="J7" s="334"/>
      <c r="K7" s="539"/>
      <c r="L7" s="334"/>
      <c r="M7" s="334"/>
      <c r="N7" s="539"/>
      <c r="O7" s="334"/>
      <c r="P7" s="334"/>
    </row>
    <row r="8" spans="2:16" ht="15.75">
      <c r="B8" s="539" t="s">
        <v>513</v>
      </c>
      <c r="C8" s="339">
        <f>C6*D6</f>
        <v>20</v>
      </c>
      <c r="D8" s="539"/>
      <c r="E8" s="539" t="s">
        <v>512</v>
      </c>
      <c r="F8" s="339">
        <f>F6*G6</f>
        <v>1</v>
      </c>
      <c r="G8" s="539"/>
      <c r="H8" s="539" t="s">
        <v>512</v>
      </c>
      <c r="I8" s="339">
        <f>I6*J6</f>
        <v>-8</v>
      </c>
      <c r="J8" s="539"/>
      <c r="K8" s="539" t="s">
        <v>512</v>
      </c>
      <c r="L8" s="339">
        <f>L6*M6</f>
        <v>6</v>
      </c>
      <c r="M8" s="539"/>
      <c r="N8" s="539" t="s">
        <v>512</v>
      </c>
      <c r="O8" s="339">
        <f>O6*P6</f>
        <v>200</v>
      </c>
      <c r="P8" s="539"/>
    </row>
    <row r="9" spans="3:16" ht="15.75"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9"/>
    </row>
    <row r="10" spans="2:16" ht="15.75">
      <c r="B10" s="347" t="s">
        <v>511</v>
      </c>
      <c r="C10" s="339">
        <f>SUM(C8,F8,I8,L8,O8)</f>
        <v>219</v>
      </c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</row>
    <row r="12" spans="2:20" ht="15.75">
      <c r="B12" s="549"/>
      <c r="C12" s="549" t="s">
        <v>515</v>
      </c>
      <c r="D12" s="549"/>
      <c r="E12" s="549"/>
      <c r="F12" s="549"/>
      <c r="G12" s="549"/>
      <c r="H12" s="549"/>
      <c r="I12" s="549"/>
      <c r="J12" s="549"/>
      <c r="K12" s="549"/>
      <c r="L12" s="549"/>
      <c r="M12" s="549"/>
      <c r="N12" s="549"/>
      <c r="O12" s="549"/>
      <c r="P12" s="549"/>
      <c r="Q12" s="549"/>
      <c r="R12" s="549"/>
      <c r="S12" s="549"/>
      <c r="T12" s="549"/>
    </row>
    <row r="13" spans="2:20" ht="15.75">
      <c r="B13" s="549"/>
      <c r="C13" s="545" t="s">
        <v>516</v>
      </c>
      <c r="D13" s="548">
        <v>1</v>
      </c>
      <c r="T13" s="549"/>
    </row>
    <row r="14" spans="2:20" ht="15.75">
      <c r="B14" s="550"/>
      <c r="C14" s="544" t="s">
        <v>522</v>
      </c>
      <c r="D14" s="547">
        <v>1000</v>
      </c>
      <c r="T14" s="549"/>
    </row>
    <row r="15" spans="2:20" ht="15.75">
      <c r="B15" s="549"/>
      <c r="T15" s="549"/>
    </row>
    <row r="16" spans="2:20" ht="15.75">
      <c r="B16" s="549"/>
      <c r="F16" s="539" t="s">
        <v>517</v>
      </c>
      <c r="G16" s="539"/>
      <c r="H16" s="539"/>
      <c r="I16" s="539" t="s">
        <v>519</v>
      </c>
      <c r="J16" s="539"/>
      <c r="K16" s="539"/>
      <c r="L16" s="539" t="s">
        <v>519</v>
      </c>
      <c r="M16" s="539"/>
      <c r="N16" s="539"/>
      <c r="O16" s="539" t="s">
        <v>519</v>
      </c>
      <c r="P16" s="539"/>
      <c r="Q16" s="539"/>
      <c r="R16" s="539" t="s">
        <v>524</v>
      </c>
      <c r="S16" s="539"/>
      <c r="T16" s="549"/>
    </row>
    <row r="17" spans="2:20" ht="15.75">
      <c r="B17" s="549"/>
      <c r="F17" s="345" t="s">
        <v>523</v>
      </c>
      <c r="G17" s="345" t="s">
        <v>518</v>
      </c>
      <c r="H17" s="539"/>
      <c r="I17" s="345" t="s">
        <v>523</v>
      </c>
      <c r="J17" s="345" t="s">
        <v>518</v>
      </c>
      <c r="K17" s="539"/>
      <c r="L17" s="345" t="s">
        <v>523</v>
      </c>
      <c r="M17" s="345" t="s">
        <v>518</v>
      </c>
      <c r="N17" s="539"/>
      <c r="O17" s="345" t="s">
        <v>523</v>
      </c>
      <c r="P17" s="345" t="s">
        <v>518</v>
      </c>
      <c r="Q17" s="539"/>
      <c r="R17" s="539" t="s">
        <v>526</v>
      </c>
      <c r="S17" s="539" t="s">
        <v>525</v>
      </c>
      <c r="T17" s="549"/>
    </row>
    <row r="18" spans="2:20" ht="15.75">
      <c r="B18" s="549"/>
      <c r="F18" s="345">
        <v>1</v>
      </c>
      <c r="G18" s="345">
        <v>500</v>
      </c>
      <c r="H18" s="539"/>
      <c r="I18" s="345">
        <v>2</v>
      </c>
      <c r="J18" s="345">
        <v>100</v>
      </c>
      <c r="K18" s="539"/>
      <c r="L18" s="345"/>
      <c r="M18" s="345"/>
      <c r="N18" s="539"/>
      <c r="O18" s="345"/>
      <c r="P18" s="345"/>
      <c r="Q18" s="539"/>
      <c r="R18" s="339">
        <v>1</v>
      </c>
      <c r="S18" s="339">
        <f>D13</f>
        <v>1</v>
      </c>
      <c r="T18" s="549"/>
    </row>
    <row r="19" spans="2:20" ht="15.75">
      <c r="B19" s="54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49"/>
    </row>
    <row r="20" spans="2:20" ht="15.75">
      <c r="B20" s="549"/>
      <c r="F20" s="345" t="s">
        <v>520</v>
      </c>
      <c r="G20" s="345" t="s">
        <v>521</v>
      </c>
      <c r="H20" s="539"/>
      <c r="I20" s="345" t="s">
        <v>520</v>
      </c>
      <c r="J20" s="345" t="s">
        <v>521</v>
      </c>
      <c r="K20" s="539"/>
      <c r="L20" s="345" t="s">
        <v>520</v>
      </c>
      <c r="M20" s="345" t="s">
        <v>521</v>
      </c>
      <c r="N20" s="539"/>
      <c r="O20" s="345" t="s">
        <v>520</v>
      </c>
      <c r="P20" s="345" t="s">
        <v>521</v>
      </c>
      <c r="Q20" s="539"/>
      <c r="R20" s="345" t="s">
        <v>520</v>
      </c>
      <c r="S20" s="345" t="s">
        <v>521</v>
      </c>
      <c r="T20" s="549"/>
    </row>
    <row r="21" spans="2:20" ht="15.75">
      <c r="B21" s="549"/>
      <c r="F21" s="339">
        <f>F18/D14</f>
        <v>0.001</v>
      </c>
      <c r="G21" s="339">
        <f>G18-D13</f>
        <v>499</v>
      </c>
      <c r="H21" s="539"/>
      <c r="I21" s="339">
        <f>I18/D14</f>
        <v>0.002</v>
      </c>
      <c r="J21" s="339">
        <f>J18-D13</f>
        <v>99</v>
      </c>
      <c r="K21" s="539"/>
      <c r="L21" s="339">
        <f>L18/D14</f>
        <v>0</v>
      </c>
      <c r="M21" s="339">
        <f>M18-D13</f>
        <v>-1</v>
      </c>
      <c r="N21" s="539"/>
      <c r="O21" s="339">
        <f>O18/D14</f>
        <v>0</v>
      </c>
      <c r="P21" s="339">
        <f>P18-D13</f>
        <v>-1</v>
      </c>
      <c r="Q21" s="539"/>
      <c r="R21" s="339">
        <f>(D14-F18-I18-L18-O18)/D14</f>
        <v>0.997</v>
      </c>
      <c r="S21" s="339">
        <f>-S18</f>
        <v>-1</v>
      </c>
      <c r="T21" s="549"/>
    </row>
    <row r="22" spans="2:20" ht="15.75">
      <c r="B22" s="549"/>
      <c r="F22" s="539"/>
      <c r="G22" s="539"/>
      <c r="H22" s="539"/>
      <c r="I22" s="539"/>
      <c r="J22" s="539"/>
      <c r="K22" s="539"/>
      <c r="L22" s="539"/>
      <c r="M22" s="539"/>
      <c r="N22" s="539"/>
      <c r="O22" s="539"/>
      <c r="P22" s="539"/>
      <c r="Q22" s="539"/>
      <c r="R22" s="539"/>
      <c r="S22" s="539"/>
      <c r="T22" s="549"/>
    </row>
    <row r="23" spans="2:20" ht="15.75">
      <c r="B23" s="549"/>
      <c r="E23" s="539" t="s">
        <v>513</v>
      </c>
      <c r="F23" s="339">
        <f>F21*G21</f>
        <v>0.499</v>
      </c>
      <c r="G23" s="539"/>
      <c r="H23" s="539" t="s">
        <v>512</v>
      </c>
      <c r="I23" s="339">
        <f>I21*J21</f>
        <v>0.198</v>
      </c>
      <c r="J23" s="539"/>
      <c r="K23" s="539" t="s">
        <v>512</v>
      </c>
      <c r="L23" s="339">
        <f>L21*M21</f>
        <v>0</v>
      </c>
      <c r="M23" s="539"/>
      <c r="N23" s="539" t="s">
        <v>512</v>
      </c>
      <c r="O23" s="339">
        <f>O21*P21</f>
        <v>0</v>
      </c>
      <c r="P23" s="539"/>
      <c r="Q23" s="539" t="s">
        <v>512</v>
      </c>
      <c r="R23" s="339">
        <f>R21*S21</f>
        <v>-0.997</v>
      </c>
      <c r="S23" s="539"/>
      <c r="T23" s="549"/>
    </row>
    <row r="24" spans="2:20" ht="15.75">
      <c r="B24" s="54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39"/>
      <c r="S24" s="539"/>
      <c r="T24" s="549"/>
    </row>
    <row r="25" spans="2:20" ht="15.75">
      <c r="B25" s="549"/>
      <c r="E25" s="546" t="s">
        <v>511</v>
      </c>
      <c r="F25" s="339">
        <f>SUM(F23,I23,L23,O23,R23)</f>
        <v>-0.29999999999999993</v>
      </c>
      <c r="G25" s="539"/>
      <c r="H25" s="539"/>
      <c r="I25" s="539"/>
      <c r="J25" s="539"/>
      <c r="K25" s="539"/>
      <c r="L25" s="539"/>
      <c r="M25" s="539"/>
      <c r="N25" s="539"/>
      <c r="O25" s="539"/>
      <c r="P25" s="539"/>
      <c r="Q25" s="539"/>
      <c r="R25" s="539"/>
      <c r="S25" s="539"/>
      <c r="T25" s="549"/>
    </row>
    <row r="26" spans="2:20" ht="15.75">
      <c r="B26" s="549"/>
      <c r="C26" s="549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49"/>
      <c r="S26" s="549"/>
      <c r="T26" s="54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N27"/>
  <sheetViews>
    <sheetView zoomScalePageLayoutView="0" workbookViewId="0" topLeftCell="A1">
      <selection activeCell="L46" sqref="L46"/>
    </sheetView>
  </sheetViews>
  <sheetFormatPr defaultColWidth="9.140625" defaultRowHeight="12.75"/>
  <cols>
    <col min="2" max="2" width="4.28125" style="173" customWidth="1"/>
    <col min="3" max="3" width="5.00390625" style="173" customWidth="1"/>
    <col min="4" max="14" width="6.57421875" style="173" bestFit="1" customWidth="1"/>
  </cols>
  <sheetData>
    <row r="2" ht="12.75">
      <c r="I2" s="183" t="s">
        <v>142</v>
      </c>
    </row>
    <row r="3" spans="2:14" ht="13.5" thickBot="1">
      <c r="B3" s="180" t="s">
        <v>143</v>
      </c>
      <c r="C3" s="184" t="s">
        <v>40</v>
      </c>
      <c r="D3" s="174">
        <v>0.05</v>
      </c>
      <c r="E3" s="174">
        <v>0.1</v>
      </c>
      <c r="F3" s="174">
        <v>0.2</v>
      </c>
      <c r="G3" s="174">
        <f>F3+0.1</f>
        <v>0.30000000000000004</v>
      </c>
      <c r="H3" s="174">
        <f aca="true" t="shared" si="0" ref="H3:M3">G3+0.1</f>
        <v>0.4</v>
      </c>
      <c r="I3" s="180">
        <f t="shared" si="0"/>
        <v>0.5</v>
      </c>
      <c r="J3" s="174">
        <f t="shared" si="0"/>
        <v>0.6</v>
      </c>
      <c r="K3" s="174">
        <f t="shared" si="0"/>
        <v>0.7</v>
      </c>
      <c r="L3" s="174">
        <f t="shared" si="0"/>
        <v>0.7999999999999999</v>
      </c>
      <c r="M3" s="174">
        <f t="shared" si="0"/>
        <v>0.8999999999999999</v>
      </c>
      <c r="N3" s="174">
        <v>0.95</v>
      </c>
    </row>
    <row r="4" spans="2:14" ht="12.75" hidden="1">
      <c r="B4" s="173">
        <v>1</v>
      </c>
      <c r="C4" s="178">
        <v>0</v>
      </c>
      <c r="D4" s="175">
        <f>D3^0*(1-D3)^(1-0)</f>
        <v>0.95</v>
      </c>
      <c r="E4" s="175">
        <f>BINOMDIST(0,1,E3,FALSE)</f>
        <v>0.9</v>
      </c>
      <c r="F4" s="175">
        <f aca="true" t="shared" si="1" ref="F4:N4">BINOMDIST(0,1,F3,FALSE)</f>
        <v>0.8</v>
      </c>
      <c r="G4" s="175">
        <f t="shared" si="1"/>
        <v>0.7</v>
      </c>
      <c r="H4" s="175">
        <f t="shared" si="1"/>
        <v>0.6</v>
      </c>
      <c r="I4" s="181">
        <f t="shared" si="1"/>
        <v>0.5</v>
      </c>
      <c r="J4" s="175">
        <f t="shared" si="1"/>
        <v>0.4</v>
      </c>
      <c r="K4" s="175">
        <f t="shared" si="1"/>
        <v>0.30000000000000004</v>
      </c>
      <c r="L4" s="175">
        <f t="shared" si="1"/>
        <v>0.20000000000000007</v>
      </c>
      <c r="M4" s="175">
        <f t="shared" si="1"/>
        <v>0.10000000000000006</v>
      </c>
      <c r="N4" s="175">
        <f t="shared" si="1"/>
        <v>0.05000000000000005</v>
      </c>
    </row>
    <row r="5" spans="3:14" ht="12.75" hidden="1">
      <c r="C5" s="177">
        <v>1</v>
      </c>
      <c r="D5" s="175">
        <f>BINOMDIST(1,1,D3,FALSE)</f>
        <v>0.05000000000000001</v>
      </c>
      <c r="E5" s="175">
        <f aca="true" t="shared" si="2" ref="E5:N5">BINOMDIST(1,1,E3,FALSE)</f>
        <v>0.10000000000000002</v>
      </c>
      <c r="F5" s="175">
        <f t="shared" si="2"/>
        <v>0.2</v>
      </c>
      <c r="G5" s="175">
        <f t="shared" si="2"/>
        <v>0.30000000000000004</v>
      </c>
      <c r="H5" s="175">
        <f t="shared" si="2"/>
        <v>0.4</v>
      </c>
      <c r="I5" s="181">
        <f t="shared" si="2"/>
        <v>0.5</v>
      </c>
      <c r="J5" s="175">
        <f t="shared" si="2"/>
        <v>0.6</v>
      </c>
      <c r="K5" s="175">
        <f t="shared" si="2"/>
        <v>0.7</v>
      </c>
      <c r="L5" s="175">
        <f t="shared" si="2"/>
        <v>0.7999999999999999</v>
      </c>
      <c r="M5" s="175">
        <f t="shared" si="2"/>
        <v>0.8999999999999999</v>
      </c>
      <c r="N5" s="175">
        <f t="shared" si="2"/>
        <v>0.95</v>
      </c>
    </row>
    <row r="6" spans="2:14" ht="13.5" hidden="1" thickBot="1">
      <c r="B6" s="174"/>
      <c r="C6" s="179"/>
      <c r="D6" s="176"/>
      <c r="E6" s="176"/>
      <c r="F6" s="176"/>
      <c r="G6" s="176"/>
      <c r="H6" s="176"/>
      <c r="I6" s="182"/>
      <c r="J6" s="176"/>
      <c r="K6" s="176"/>
      <c r="L6" s="176"/>
      <c r="M6" s="176"/>
      <c r="N6" s="176"/>
    </row>
    <row r="7" spans="2:14" ht="12.75" hidden="1">
      <c r="B7" s="173">
        <v>2</v>
      </c>
      <c r="C7" s="178">
        <v>0</v>
      </c>
      <c r="D7" s="175">
        <f>BINOMDIST(0,2,D3,FALSE)</f>
        <v>0.9025</v>
      </c>
      <c r="E7" s="175">
        <f aca="true" t="shared" si="3" ref="E7:N7">BINOMDIST(0,2,E3,FALSE)</f>
        <v>0.81</v>
      </c>
      <c r="F7" s="175">
        <f t="shared" si="3"/>
        <v>0.64</v>
      </c>
      <c r="G7" s="175">
        <f t="shared" si="3"/>
        <v>0.48999999999999994</v>
      </c>
      <c r="H7" s="175">
        <f t="shared" si="3"/>
        <v>0.36</v>
      </c>
      <c r="I7" s="181">
        <f t="shared" si="3"/>
        <v>0.25</v>
      </c>
      <c r="J7" s="175">
        <f t="shared" si="3"/>
        <v>0.16000000000000003</v>
      </c>
      <c r="K7" s="175">
        <f t="shared" si="3"/>
        <v>0.09000000000000001</v>
      </c>
      <c r="L7" s="175">
        <f t="shared" si="3"/>
        <v>0.04000000000000003</v>
      </c>
      <c r="M7" s="175">
        <f t="shared" si="3"/>
        <v>0.010000000000000014</v>
      </c>
      <c r="N7" s="175">
        <f t="shared" si="3"/>
        <v>0.0025000000000000053</v>
      </c>
    </row>
    <row r="8" spans="3:14" ht="12.75" hidden="1">
      <c r="C8" s="177">
        <v>1</v>
      </c>
      <c r="D8" s="175">
        <f>BINOMDIST(1,2,D3,FALSE)</f>
        <v>0.09500000000000001</v>
      </c>
      <c r="E8" s="175">
        <f aca="true" t="shared" si="4" ref="E8:N8">BINOMDIST(1,2,E3,FALSE)</f>
        <v>0.18000000000000005</v>
      </c>
      <c r="F8" s="175">
        <f t="shared" si="4"/>
        <v>0.32000000000000006</v>
      </c>
      <c r="G8" s="175">
        <f t="shared" si="4"/>
        <v>0.42000000000000004</v>
      </c>
      <c r="H8" s="175">
        <f t="shared" si="4"/>
        <v>0.48</v>
      </c>
      <c r="I8" s="181">
        <f t="shared" si="4"/>
        <v>0.5</v>
      </c>
      <c r="J8" s="175">
        <f t="shared" si="4"/>
        <v>0.48</v>
      </c>
      <c r="K8" s="175">
        <f t="shared" si="4"/>
        <v>0.42000000000000004</v>
      </c>
      <c r="L8" s="175">
        <f t="shared" si="4"/>
        <v>0.32000000000000006</v>
      </c>
      <c r="M8" s="175">
        <f t="shared" si="4"/>
        <v>0.1800000000000001</v>
      </c>
      <c r="N8" s="175">
        <f t="shared" si="4"/>
        <v>0.0950000000000001</v>
      </c>
    </row>
    <row r="9" spans="3:14" ht="12.75" hidden="1">
      <c r="C9" s="177">
        <v>2</v>
      </c>
      <c r="D9" s="175">
        <f>BINOMDIST(2,2,D3,FALSE)</f>
        <v>0.0025000000000000005</v>
      </c>
      <c r="E9" s="175">
        <f aca="true" t="shared" si="5" ref="E9:N9">BINOMDIST(2,2,E3,FALSE)</f>
        <v>0.010000000000000004</v>
      </c>
      <c r="F9" s="175">
        <f t="shared" si="5"/>
        <v>0.04000000000000001</v>
      </c>
      <c r="G9" s="175">
        <f t="shared" si="5"/>
        <v>0.09000000000000001</v>
      </c>
      <c r="H9" s="175">
        <f t="shared" si="5"/>
        <v>0.16000000000000003</v>
      </c>
      <c r="I9" s="181">
        <f t="shared" si="5"/>
        <v>0.25</v>
      </c>
      <c r="J9" s="175">
        <f t="shared" si="5"/>
        <v>0.36</v>
      </c>
      <c r="K9" s="175">
        <f t="shared" si="5"/>
        <v>0.48999999999999994</v>
      </c>
      <c r="L9" s="175">
        <f t="shared" si="5"/>
        <v>0.6399999999999999</v>
      </c>
      <c r="M9" s="175">
        <f t="shared" si="5"/>
        <v>0.8099999999999998</v>
      </c>
      <c r="N9" s="175">
        <f t="shared" si="5"/>
        <v>0.9025</v>
      </c>
    </row>
    <row r="10" spans="2:14" ht="13.5" hidden="1" thickBot="1">
      <c r="B10" s="174"/>
      <c r="C10" s="179"/>
      <c r="D10" s="176"/>
      <c r="E10" s="176"/>
      <c r="F10" s="176"/>
      <c r="G10" s="176"/>
      <c r="H10" s="176"/>
      <c r="I10" s="182"/>
      <c r="J10" s="176"/>
      <c r="K10" s="176"/>
      <c r="L10" s="176"/>
      <c r="M10" s="176"/>
      <c r="N10" s="176"/>
    </row>
    <row r="11" spans="2:14" ht="12.75" hidden="1">
      <c r="B11" s="173">
        <v>3</v>
      </c>
      <c r="C11" s="178">
        <v>0</v>
      </c>
      <c r="D11" s="175">
        <f>BINOMDIST(0,3,D3,FALSE)</f>
        <v>0.8573749999999999</v>
      </c>
      <c r="E11" s="175">
        <f aca="true" t="shared" si="6" ref="E11:M11">BINOMDIST(0,3,E3,FALSE)</f>
        <v>0.7290000000000001</v>
      </c>
      <c r="F11" s="175">
        <f t="shared" si="6"/>
        <v>0.5120000000000001</v>
      </c>
      <c r="G11" s="175">
        <f t="shared" si="6"/>
        <v>0.3429999999999999</v>
      </c>
      <c r="H11" s="175">
        <f t="shared" si="6"/>
        <v>0.21599999999999997</v>
      </c>
      <c r="I11" s="181">
        <f t="shared" si="6"/>
        <v>0.12500000000000003</v>
      </c>
      <c r="J11" s="175">
        <f t="shared" si="6"/>
        <v>0.06400000000000002</v>
      </c>
      <c r="K11" s="175">
        <f t="shared" si="6"/>
        <v>0.027000000000000007</v>
      </c>
      <c r="L11" s="175">
        <f t="shared" si="6"/>
        <v>0.008000000000000004</v>
      </c>
      <c r="M11" s="175">
        <f t="shared" si="6"/>
        <v>0.001000000000000002</v>
      </c>
      <c r="N11" s="175"/>
    </row>
    <row r="12" spans="3:14" ht="12.75" hidden="1">
      <c r="C12" s="177">
        <v>1</v>
      </c>
      <c r="D12" s="175">
        <f>BINOMDIST(1,3,D3,FALSE)</f>
        <v>0.13537500000000002</v>
      </c>
      <c r="E12" s="175">
        <f aca="true" t="shared" si="7" ref="E12:N12">BINOMDIST(1,3,E3,FALSE)</f>
        <v>0.24300000000000005</v>
      </c>
      <c r="F12" s="175">
        <f t="shared" si="7"/>
        <v>0.38400000000000006</v>
      </c>
      <c r="G12" s="175">
        <f t="shared" si="7"/>
        <v>0.441</v>
      </c>
      <c r="H12" s="175">
        <f t="shared" si="7"/>
        <v>0.43200000000000005</v>
      </c>
      <c r="I12" s="181">
        <f t="shared" si="7"/>
        <v>0.375</v>
      </c>
      <c r="J12" s="175">
        <f t="shared" si="7"/>
        <v>0.28800000000000003</v>
      </c>
      <c r="K12" s="175">
        <f t="shared" si="7"/>
        <v>0.189</v>
      </c>
      <c r="L12" s="175">
        <f t="shared" si="7"/>
        <v>0.09600000000000007</v>
      </c>
      <c r="M12" s="175">
        <f t="shared" si="7"/>
        <v>0.027000000000000034</v>
      </c>
      <c r="N12" s="175">
        <f t="shared" si="7"/>
        <v>0.007125000000000014</v>
      </c>
    </row>
    <row r="13" spans="3:14" ht="12.75" hidden="1">
      <c r="C13" s="177">
        <v>2</v>
      </c>
      <c r="D13" s="175">
        <f>BINOMDIST(2,3,D3,FALSE)</f>
        <v>0.007125000000000001</v>
      </c>
      <c r="E13" s="175">
        <f aca="true" t="shared" si="8" ref="E13:N13">BINOMDIST(2,3,E3,FALSE)</f>
        <v>0.027000000000000014</v>
      </c>
      <c r="F13" s="175">
        <f t="shared" si="8"/>
        <v>0.09600000000000003</v>
      </c>
      <c r="G13" s="175">
        <f t="shared" si="8"/>
        <v>0.189</v>
      </c>
      <c r="H13" s="175">
        <f t="shared" si="8"/>
        <v>0.28800000000000003</v>
      </c>
      <c r="I13" s="181">
        <f t="shared" si="8"/>
        <v>0.375</v>
      </c>
      <c r="J13" s="175">
        <f t="shared" si="8"/>
        <v>0.43200000000000005</v>
      </c>
      <c r="K13" s="175">
        <f t="shared" si="8"/>
        <v>0.441</v>
      </c>
      <c r="L13" s="175">
        <f t="shared" si="8"/>
        <v>0.38400000000000006</v>
      </c>
      <c r="M13" s="175">
        <f t="shared" si="8"/>
        <v>0.24300000000000013</v>
      </c>
      <c r="N13" s="175">
        <f t="shared" si="8"/>
        <v>0.13537500000000013</v>
      </c>
    </row>
    <row r="14" spans="3:14" ht="12.75" hidden="1">
      <c r="C14" s="177">
        <v>3</v>
      </c>
      <c r="D14" s="175"/>
      <c r="E14" s="175">
        <f aca="true" t="shared" si="9" ref="E14:N14">BINOMDIST(3,3,E3,FALSE)</f>
        <v>0.0010000000000000002</v>
      </c>
      <c r="F14" s="175">
        <f t="shared" si="9"/>
        <v>0.008000000000000004</v>
      </c>
      <c r="G14" s="175">
        <f t="shared" si="9"/>
        <v>0.027000000000000007</v>
      </c>
      <c r="H14" s="175">
        <f t="shared" si="9"/>
        <v>0.06400000000000002</v>
      </c>
      <c r="I14" s="181">
        <f t="shared" si="9"/>
        <v>0.12500000000000003</v>
      </c>
      <c r="J14" s="175">
        <f t="shared" si="9"/>
        <v>0.21599999999999997</v>
      </c>
      <c r="K14" s="175">
        <f t="shared" si="9"/>
        <v>0.3429999999999999</v>
      </c>
      <c r="L14" s="175">
        <f t="shared" si="9"/>
        <v>0.5119999999999998</v>
      </c>
      <c r="M14" s="175">
        <f t="shared" si="9"/>
        <v>0.7289999999999998</v>
      </c>
      <c r="N14" s="175">
        <f t="shared" si="9"/>
        <v>0.8573749999999999</v>
      </c>
    </row>
    <row r="15" spans="2:14" ht="13.5" hidden="1" thickBot="1">
      <c r="B15" s="174"/>
      <c r="C15" s="179"/>
      <c r="D15" s="176"/>
      <c r="E15" s="176"/>
      <c r="F15" s="176"/>
      <c r="G15" s="176"/>
      <c r="H15" s="176"/>
      <c r="I15" s="182"/>
      <c r="J15" s="176"/>
      <c r="K15" s="176"/>
      <c r="L15" s="176"/>
      <c r="M15" s="176"/>
      <c r="N15" s="176"/>
    </row>
    <row r="16" spans="2:14" ht="12.75">
      <c r="B16" s="183">
        <v>4</v>
      </c>
      <c r="C16" s="185">
        <v>0</v>
      </c>
      <c r="D16" s="175">
        <f>BINOMDIST(0,4,D3,FALSE)</f>
        <v>0.8145062499999999</v>
      </c>
      <c r="E16" s="175">
        <f aca="true" t="shared" si="10" ref="E16:L16">BINOMDIST(0,4,E3,FALSE)</f>
        <v>0.6561</v>
      </c>
      <c r="F16" s="175">
        <f t="shared" si="10"/>
        <v>0.4096000000000001</v>
      </c>
      <c r="G16" s="175">
        <f t="shared" si="10"/>
        <v>0.24009999999999992</v>
      </c>
      <c r="H16" s="175">
        <f t="shared" si="10"/>
        <v>0.1296</v>
      </c>
      <c r="I16" s="181">
        <f t="shared" si="10"/>
        <v>0.0625</v>
      </c>
      <c r="J16" s="175">
        <f t="shared" si="10"/>
        <v>0.025600000000000008</v>
      </c>
      <c r="K16" s="175">
        <f t="shared" si="10"/>
        <v>0.008100000000000003</v>
      </c>
      <c r="L16" s="175">
        <f t="shared" si="10"/>
        <v>0.001600000000000002</v>
      </c>
      <c r="M16" s="175"/>
      <c r="N16" s="175"/>
    </row>
    <row r="17" spans="3:14" ht="12.75">
      <c r="C17" s="186">
        <v>1</v>
      </c>
      <c r="D17" s="175">
        <f>BINOMDIST(1,4,D3,FALSE)</f>
        <v>0.17147500000000002</v>
      </c>
      <c r="E17" s="175">
        <f aca="true" t="shared" si="11" ref="E17:M17">BINOMDIST(1,4,E3,FALSE)</f>
        <v>0.2916000000000001</v>
      </c>
      <c r="F17" s="175">
        <f t="shared" si="11"/>
        <v>0.40960000000000013</v>
      </c>
      <c r="G17" s="175">
        <f t="shared" si="11"/>
        <v>0.41159999999999997</v>
      </c>
      <c r="H17" s="175">
        <f t="shared" si="11"/>
        <v>0.34559999999999996</v>
      </c>
      <c r="I17" s="181">
        <f t="shared" si="11"/>
        <v>0.25000000000000006</v>
      </c>
      <c r="J17" s="175">
        <f t="shared" si="11"/>
        <v>0.15360000000000004</v>
      </c>
      <c r="K17" s="175">
        <f t="shared" si="11"/>
        <v>0.07560000000000001</v>
      </c>
      <c r="L17" s="175">
        <f t="shared" si="11"/>
        <v>0.025600000000000008</v>
      </c>
      <c r="M17" s="175">
        <f t="shared" si="11"/>
        <v>0.003600000000000007</v>
      </c>
      <c r="N17" s="175"/>
    </row>
    <row r="18" spans="3:14" ht="12.75">
      <c r="C18" s="186">
        <v>2</v>
      </c>
      <c r="D18" s="175">
        <f>BINOMDIST(2,4,D3,FALSE)</f>
        <v>0.013537500000000003</v>
      </c>
      <c r="E18" s="175">
        <f aca="true" t="shared" si="12" ref="E18:N18">BINOMDIST(2,4,E3,FALSE)</f>
        <v>0.048600000000000025</v>
      </c>
      <c r="F18" s="175">
        <f t="shared" si="12"/>
        <v>0.15360000000000004</v>
      </c>
      <c r="G18" s="175">
        <f t="shared" si="12"/>
        <v>0.2646</v>
      </c>
      <c r="H18" s="175">
        <f t="shared" si="12"/>
        <v>0.3456000000000001</v>
      </c>
      <c r="I18" s="181">
        <f t="shared" si="12"/>
        <v>0.375</v>
      </c>
      <c r="J18" s="175">
        <f t="shared" si="12"/>
        <v>0.3456000000000001</v>
      </c>
      <c r="K18" s="175">
        <f t="shared" si="12"/>
        <v>0.2646</v>
      </c>
      <c r="L18" s="175">
        <f t="shared" si="12"/>
        <v>0.1536000000000001</v>
      </c>
      <c r="M18" s="175">
        <f t="shared" si="12"/>
        <v>0.04860000000000006</v>
      </c>
      <c r="N18" s="175">
        <f t="shared" si="12"/>
        <v>0.013537500000000029</v>
      </c>
    </row>
    <row r="19" spans="3:14" ht="12.75">
      <c r="C19" s="186">
        <v>3</v>
      </c>
      <c r="D19" s="175"/>
      <c r="E19" s="175">
        <f aca="true" t="shared" si="13" ref="E19:N19">BINOMDIST(3,4,E3,FALSE)</f>
        <v>0.0036000000000000008</v>
      </c>
      <c r="F19" s="175">
        <f t="shared" si="13"/>
        <v>0.02560000000000001</v>
      </c>
      <c r="G19" s="175">
        <f t="shared" si="13"/>
        <v>0.07560000000000001</v>
      </c>
      <c r="H19" s="175">
        <f t="shared" si="13"/>
        <v>0.15360000000000004</v>
      </c>
      <c r="I19" s="181">
        <f t="shared" si="13"/>
        <v>0.25000000000000006</v>
      </c>
      <c r="J19" s="175">
        <f t="shared" si="13"/>
        <v>0.34559999999999996</v>
      </c>
      <c r="K19" s="175">
        <f t="shared" si="13"/>
        <v>0.41159999999999997</v>
      </c>
      <c r="L19" s="175">
        <f t="shared" si="13"/>
        <v>0.40959999999999996</v>
      </c>
      <c r="M19" s="175">
        <f t="shared" si="13"/>
        <v>0.2916000000000001</v>
      </c>
      <c r="N19" s="175">
        <f t="shared" si="13"/>
        <v>0.17147500000000016</v>
      </c>
    </row>
    <row r="20" spans="3:14" ht="12.75">
      <c r="C20" s="186">
        <v>4</v>
      </c>
      <c r="D20" s="175"/>
      <c r="E20" s="175"/>
      <c r="F20" s="175">
        <f aca="true" t="shared" si="14" ref="F20:N20">BINOMDIST(4,4,F3,FALSE)</f>
        <v>0.0016000000000000005</v>
      </c>
      <c r="G20" s="175">
        <f t="shared" si="14"/>
        <v>0.008100000000000003</v>
      </c>
      <c r="H20" s="175">
        <f t="shared" si="14"/>
        <v>0.025600000000000008</v>
      </c>
      <c r="I20" s="181">
        <f t="shared" si="14"/>
        <v>0.0625</v>
      </c>
      <c r="J20" s="175">
        <f t="shared" si="14"/>
        <v>0.1296</v>
      </c>
      <c r="K20" s="175">
        <f t="shared" si="14"/>
        <v>0.24009999999999992</v>
      </c>
      <c r="L20" s="175">
        <f t="shared" si="14"/>
        <v>0.40959999999999985</v>
      </c>
      <c r="M20" s="175">
        <f t="shared" si="14"/>
        <v>0.6560999999999997</v>
      </c>
      <c r="N20" s="175">
        <f t="shared" si="14"/>
        <v>0.8145062499999999</v>
      </c>
    </row>
    <row r="21" spans="2:14" ht="13.5" thickBot="1">
      <c r="B21" s="174"/>
      <c r="C21" s="179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</row>
    <row r="22" spans="2:14" ht="12.75">
      <c r="B22" s="173">
        <v>5</v>
      </c>
      <c r="C22" s="178">
        <v>0</v>
      </c>
      <c r="D22" s="175">
        <f>BINOMDIST(0,5,D3,FALSE)</f>
        <v>0.7737809374999998</v>
      </c>
      <c r="E22" s="175">
        <f aca="true" t="shared" si="15" ref="E22:K22">BINOMDIST(0,5,E3,FALSE)</f>
        <v>0.5904900000000001</v>
      </c>
      <c r="F22" s="175">
        <f t="shared" si="15"/>
        <v>0.3276800000000001</v>
      </c>
      <c r="G22" s="175">
        <f t="shared" si="15"/>
        <v>0.16806999999999994</v>
      </c>
      <c r="H22" s="175">
        <f t="shared" si="15"/>
        <v>0.07776</v>
      </c>
      <c r="I22" s="175">
        <f t="shared" si="15"/>
        <v>0.03125</v>
      </c>
      <c r="J22" s="175">
        <f t="shared" si="15"/>
        <v>0.010240000000000008</v>
      </c>
      <c r="K22" s="175">
        <f t="shared" si="15"/>
        <v>0.002430000000000001</v>
      </c>
      <c r="L22" s="175"/>
      <c r="M22" s="175"/>
      <c r="N22" s="175"/>
    </row>
    <row r="23" spans="3:14" ht="12.75">
      <c r="C23" s="177">
        <v>1</v>
      </c>
      <c r="D23" s="175">
        <f>BINOMDIST(1,5,D3,FALSE)</f>
        <v>0.20362656250000002</v>
      </c>
      <c r="E23" s="175">
        <f aca="true" t="shared" si="16" ref="E23:L23">BINOMDIST(1,5,E3,FALSE)</f>
        <v>0.32805000000000006</v>
      </c>
      <c r="F23" s="175">
        <f t="shared" si="16"/>
        <v>0.4096000000000001</v>
      </c>
      <c r="G23" s="175">
        <f t="shared" si="16"/>
        <v>0.3601499999999999</v>
      </c>
      <c r="H23" s="175">
        <f t="shared" si="16"/>
        <v>0.2592</v>
      </c>
      <c r="I23" s="175">
        <f t="shared" si="16"/>
        <v>0.15625</v>
      </c>
      <c r="J23" s="175">
        <f t="shared" si="16"/>
        <v>0.07680000000000002</v>
      </c>
      <c r="K23" s="175">
        <f t="shared" si="16"/>
        <v>0.02835000000000001</v>
      </c>
      <c r="L23" s="175">
        <f t="shared" si="16"/>
        <v>0.006400000000000007</v>
      </c>
      <c r="M23" s="175"/>
      <c r="N23" s="175"/>
    </row>
    <row r="24" spans="3:14" ht="12.75">
      <c r="C24" s="177">
        <v>2</v>
      </c>
      <c r="D24" s="175">
        <f>BINOMDIST(2,5,D3,FALSE)</f>
        <v>0.021434375000000002</v>
      </c>
      <c r="E24" s="175">
        <f aca="true" t="shared" si="17" ref="E24:N24">BINOMDIST(2,5,E3,FALSE)</f>
        <v>0.07290000000000003</v>
      </c>
      <c r="F24" s="175">
        <f t="shared" si="17"/>
        <v>0.2048000000000001</v>
      </c>
      <c r="G24" s="175">
        <f t="shared" si="17"/>
        <v>0.3087</v>
      </c>
      <c r="H24" s="175">
        <f t="shared" si="17"/>
        <v>0.3456</v>
      </c>
      <c r="I24" s="175">
        <f t="shared" si="17"/>
        <v>0.31250000000000006</v>
      </c>
      <c r="J24" s="175">
        <f t="shared" si="17"/>
        <v>0.23040000000000002</v>
      </c>
      <c r="K24" s="175">
        <f t="shared" si="17"/>
        <v>0.13230000000000003</v>
      </c>
      <c r="L24" s="175">
        <f t="shared" si="17"/>
        <v>0.05120000000000001</v>
      </c>
      <c r="M24" s="175">
        <f t="shared" si="17"/>
        <v>0.008100000000000013</v>
      </c>
      <c r="N24" s="175">
        <f t="shared" si="17"/>
        <v>0.001128125000000004</v>
      </c>
    </row>
    <row r="25" spans="3:14" ht="12.75">
      <c r="C25" s="177">
        <v>3</v>
      </c>
      <c r="D25" s="175">
        <f>BINOMDIST(3,5,D3,FALSE)</f>
        <v>0.001128125</v>
      </c>
      <c r="E25" s="175">
        <f aca="true" t="shared" si="18" ref="E25:N25">BINOMDIST(3,5,E3,FALSE)</f>
        <v>0.008100000000000001</v>
      </c>
      <c r="F25" s="175">
        <f t="shared" si="18"/>
        <v>0.05120000000000003</v>
      </c>
      <c r="G25" s="175">
        <f t="shared" si="18"/>
        <v>0.13230000000000003</v>
      </c>
      <c r="H25" s="175">
        <f t="shared" si="18"/>
        <v>0.23040000000000005</v>
      </c>
      <c r="I25" s="175">
        <f t="shared" si="18"/>
        <v>0.31250000000000006</v>
      </c>
      <c r="J25" s="175">
        <f t="shared" si="18"/>
        <v>0.3456</v>
      </c>
      <c r="K25" s="175">
        <f t="shared" si="18"/>
        <v>0.3087</v>
      </c>
      <c r="L25" s="175">
        <f t="shared" si="18"/>
        <v>0.20480000000000004</v>
      </c>
      <c r="M25" s="175">
        <f t="shared" si="18"/>
        <v>0.07290000000000008</v>
      </c>
      <c r="N25" s="175">
        <f t="shared" si="18"/>
        <v>0.02143437500000004</v>
      </c>
    </row>
    <row r="26" spans="3:14" ht="12.75">
      <c r="C26" s="177">
        <v>4</v>
      </c>
      <c r="D26" s="175"/>
      <c r="E26" s="175"/>
      <c r="F26" s="175">
        <f aca="true" t="shared" si="19" ref="F26:N26">BINOMDIST(4,5,F3,FALSE)</f>
        <v>0.006400000000000002</v>
      </c>
      <c r="G26" s="175">
        <f t="shared" si="19"/>
        <v>0.028350000000000007</v>
      </c>
      <c r="H26" s="175">
        <f t="shared" si="19"/>
        <v>0.07680000000000002</v>
      </c>
      <c r="I26" s="175">
        <f t="shared" si="19"/>
        <v>0.15625</v>
      </c>
      <c r="J26" s="175">
        <f t="shared" si="19"/>
        <v>0.2592</v>
      </c>
      <c r="K26" s="175">
        <f t="shared" si="19"/>
        <v>0.36014999999999997</v>
      </c>
      <c r="L26" s="175">
        <f t="shared" si="19"/>
        <v>0.40959999999999996</v>
      </c>
      <c r="M26" s="175">
        <f t="shared" si="19"/>
        <v>0.32805</v>
      </c>
      <c r="N26" s="175">
        <f t="shared" si="19"/>
        <v>0.20362656250000016</v>
      </c>
    </row>
    <row r="27" spans="3:14" ht="12.75">
      <c r="C27" s="177">
        <v>5</v>
      </c>
      <c r="D27" s="175"/>
      <c r="E27" s="175"/>
      <c r="F27" s="175"/>
      <c r="G27" s="175">
        <f aca="true" t="shared" si="20" ref="G27:N27">BINOMDIST(5,5,G3,FALSE)</f>
        <v>0.002430000000000001</v>
      </c>
      <c r="H27" s="175">
        <f t="shared" si="20"/>
        <v>0.010240000000000008</v>
      </c>
      <c r="I27" s="175">
        <f t="shared" si="20"/>
        <v>0.03125</v>
      </c>
      <c r="J27" s="175">
        <f t="shared" si="20"/>
        <v>0.07776</v>
      </c>
      <c r="K27" s="175">
        <f t="shared" si="20"/>
        <v>0.16806999999999994</v>
      </c>
      <c r="L27" s="175">
        <f t="shared" si="20"/>
        <v>0.32767999999999986</v>
      </c>
      <c r="M27" s="175">
        <f t="shared" si="20"/>
        <v>0.5904899999999997</v>
      </c>
      <c r="N27" s="175">
        <f t="shared" si="20"/>
        <v>0.7737809374999998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A1">
      <selection activeCell="P1" sqref="P1:Q1"/>
    </sheetView>
  </sheetViews>
  <sheetFormatPr defaultColWidth="9.140625" defaultRowHeight="12.75"/>
  <cols>
    <col min="2" max="2" width="15.8515625" style="0" customWidth="1"/>
    <col min="3" max="3" width="29.7109375" style="0" customWidth="1"/>
    <col min="4" max="5" width="9.140625" style="0" customWidth="1"/>
    <col min="6" max="9" width="9.140625" style="194" customWidth="1"/>
    <col min="15" max="15" width="1.7109375" style="192" customWidth="1"/>
    <col min="20" max="20" width="3.28125" style="192" customWidth="1"/>
    <col min="21" max="22" width="9.140625" style="0" customWidth="1"/>
    <col min="23" max="24" width="9.140625" style="194" customWidth="1"/>
    <col min="25" max="25" width="2.28125" style="192" customWidth="1"/>
  </cols>
  <sheetData>
    <row r="1" spans="1:19" ht="26.25" customHeight="1">
      <c r="A1" s="556" t="s">
        <v>201</v>
      </c>
      <c r="B1" s="556"/>
      <c r="C1" s="556"/>
      <c r="P1" s="194">
        <f ca="1">RANDBETWEEN(3,53)</f>
        <v>20</v>
      </c>
      <c r="Q1" s="195" t="s">
        <v>202</v>
      </c>
      <c r="R1" s="194"/>
      <c r="S1" s="194"/>
    </row>
    <row r="2" spans="1:19" ht="12.75">
      <c r="A2" s="187" t="s">
        <v>144</v>
      </c>
      <c r="B2" s="187" t="s">
        <v>145</v>
      </c>
      <c r="C2" s="187" t="s">
        <v>146</v>
      </c>
      <c r="P2" s="196" t="s">
        <v>203</v>
      </c>
      <c r="Q2" s="196" t="s">
        <v>200</v>
      </c>
      <c r="R2" s="196" t="s">
        <v>204</v>
      </c>
      <c r="S2" s="196" t="s">
        <v>205</v>
      </c>
    </row>
    <row r="3" spans="1:19" ht="12.75">
      <c r="A3" s="188">
        <v>1</v>
      </c>
      <c r="B3" s="189" t="s">
        <v>147</v>
      </c>
      <c r="C3" s="188">
        <v>3</v>
      </c>
      <c r="P3" s="194">
        <v>5</v>
      </c>
      <c r="Q3" s="194">
        <v>7</v>
      </c>
      <c r="R3" s="194">
        <v>4</v>
      </c>
      <c r="S3" s="194">
        <v>4</v>
      </c>
    </row>
    <row r="4" spans="1:24" ht="12.75">
      <c r="A4" s="188">
        <v>2</v>
      </c>
      <c r="B4" s="189" t="s">
        <v>148</v>
      </c>
      <c r="C4" s="188">
        <v>3.9</v>
      </c>
      <c r="F4" s="188">
        <v>3.9</v>
      </c>
      <c r="G4" s="188">
        <v>3.9</v>
      </c>
      <c r="P4" s="194">
        <v>6</v>
      </c>
      <c r="Q4" s="194">
        <v>14</v>
      </c>
      <c r="R4" s="194">
        <v>5</v>
      </c>
      <c r="S4" s="194">
        <v>6</v>
      </c>
      <c r="W4" s="194">
        <v>4</v>
      </c>
      <c r="X4" s="194">
        <v>4</v>
      </c>
    </row>
    <row r="5" spans="1:23" ht="12.75">
      <c r="A5" s="188">
        <v>3</v>
      </c>
      <c r="B5" s="189" t="s">
        <v>149</v>
      </c>
      <c r="C5" s="188">
        <v>4.3</v>
      </c>
      <c r="D5" s="188">
        <v>4.3</v>
      </c>
      <c r="F5" s="188">
        <v>4.3</v>
      </c>
      <c r="P5" s="194">
        <v>7</v>
      </c>
      <c r="Q5" s="194">
        <v>17</v>
      </c>
      <c r="R5" s="194">
        <v>6</v>
      </c>
      <c r="S5" s="194">
        <v>7</v>
      </c>
      <c r="U5" s="194">
        <v>5</v>
      </c>
      <c r="W5" s="194">
        <v>5</v>
      </c>
    </row>
    <row r="6" spans="1:24" ht="12.75">
      <c r="A6" s="188">
        <v>4</v>
      </c>
      <c r="B6" s="189" t="s">
        <v>150</v>
      </c>
      <c r="C6" s="188">
        <v>4.6</v>
      </c>
      <c r="D6" s="188">
        <v>4.6</v>
      </c>
      <c r="F6" s="188">
        <v>4.6</v>
      </c>
      <c r="G6" s="188">
        <v>4.6</v>
      </c>
      <c r="P6" s="194">
        <v>11</v>
      </c>
      <c r="Q6" s="194">
        <v>19</v>
      </c>
      <c r="R6" s="194">
        <v>8</v>
      </c>
      <c r="S6" s="194">
        <v>10</v>
      </c>
      <c r="U6" s="194">
        <v>6</v>
      </c>
      <c r="W6" s="194">
        <v>6</v>
      </c>
      <c r="X6" s="194">
        <v>6</v>
      </c>
    </row>
    <row r="7" spans="1:24" ht="12.75">
      <c r="A7" s="188">
        <v>5</v>
      </c>
      <c r="B7" s="189" t="s">
        <v>151</v>
      </c>
      <c r="C7" s="188">
        <v>5</v>
      </c>
      <c r="D7" s="188">
        <v>5</v>
      </c>
      <c r="E7" s="188">
        <v>5</v>
      </c>
      <c r="G7" s="188">
        <v>5</v>
      </c>
      <c r="P7" s="194">
        <v>19</v>
      </c>
      <c r="Q7" s="194">
        <v>21</v>
      </c>
      <c r="R7" s="194">
        <v>9</v>
      </c>
      <c r="S7" s="194">
        <v>11</v>
      </c>
      <c r="U7" s="194">
        <v>7</v>
      </c>
      <c r="V7" s="194">
        <v>7</v>
      </c>
      <c r="X7" s="194">
        <v>7</v>
      </c>
    </row>
    <row r="8" spans="1:23" ht="12.75">
      <c r="A8" s="188">
        <v>5</v>
      </c>
      <c r="B8" s="189" t="s">
        <v>152</v>
      </c>
      <c r="C8" s="188">
        <v>5</v>
      </c>
      <c r="F8" s="188">
        <v>5</v>
      </c>
      <c r="P8" s="194">
        <v>20</v>
      </c>
      <c r="Q8" s="194">
        <v>23</v>
      </c>
      <c r="R8" s="194">
        <v>10</v>
      </c>
      <c r="S8" s="194">
        <v>12</v>
      </c>
      <c r="W8" s="194">
        <v>8</v>
      </c>
    </row>
    <row r="9" spans="1:23" ht="12.75">
      <c r="A9" s="188">
        <v>7</v>
      </c>
      <c r="B9" s="189" t="s">
        <v>153</v>
      </c>
      <c r="C9" s="188">
        <v>5.1</v>
      </c>
      <c r="F9" s="188">
        <v>5.1</v>
      </c>
      <c r="P9" s="194">
        <v>24</v>
      </c>
      <c r="Q9" s="194">
        <v>26</v>
      </c>
      <c r="R9" s="194">
        <v>13</v>
      </c>
      <c r="S9" s="194">
        <v>13</v>
      </c>
      <c r="W9" s="194">
        <v>9</v>
      </c>
    </row>
    <row r="10" spans="1:24" ht="12.75">
      <c r="A10" s="188">
        <v>8</v>
      </c>
      <c r="B10" s="189" t="s">
        <v>154</v>
      </c>
      <c r="C10" s="188">
        <v>5.3</v>
      </c>
      <c r="F10" s="188">
        <v>5.3</v>
      </c>
      <c r="G10" s="188">
        <v>5.3</v>
      </c>
      <c r="P10" s="194">
        <v>32</v>
      </c>
      <c r="Q10" s="194">
        <v>27</v>
      </c>
      <c r="R10" s="194">
        <v>14</v>
      </c>
      <c r="S10" s="194">
        <v>14</v>
      </c>
      <c r="W10" s="194">
        <v>10</v>
      </c>
      <c r="X10" s="194">
        <v>10</v>
      </c>
    </row>
    <row r="11" spans="1:24" ht="12.75">
      <c r="A11" s="188">
        <v>9</v>
      </c>
      <c r="B11" s="189" t="s">
        <v>155</v>
      </c>
      <c r="C11" s="188">
        <v>5.6</v>
      </c>
      <c r="D11" s="188">
        <v>5.6</v>
      </c>
      <c r="G11" s="188">
        <v>5.6</v>
      </c>
      <c r="P11" s="194">
        <v>39</v>
      </c>
      <c r="Q11" s="194">
        <v>28</v>
      </c>
      <c r="R11" s="194">
        <v>15</v>
      </c>
      <c r="S11" s="194">
        <v>15</v>
      </c>
      <c r="U11" s="194">
        <v>11</v>
      </c>
      <c r="X11" s="194">
        <v>11</v>
      </c>
    </row>
    <row r="12" spans="1:24" ht="12.75">
      <c r="A12" s="188">
        <v>9</v>
      </c>
      <c r="B12" s="189" t="s">
        <v>156</v>
      </c>
      <c r="C12" s="188">
        <v>5.6</v>
      </c>
      <c r="G12" s="188">
        <v>5.6</v>
      </c>
      <c r="P12" s="194">
        <v>42</v>
      </c>
      <c r="Q12" s="194">
        <v>31</v>
      </c>
      <c r="R12" s="194">
        <v>16</v>
      </c>
      <c r="S12" s="194">
        <v>16</v>
      </c>
      <c r="X12" s="194">
        <v>12</v>
      </c>
    </row>
    <row r="13" spans="1:24" ht="12.75">
      <c r="A13" s="188">
        <v>11</v>
      </c>
      <c r="B13" s="189" t="s">
        <v>157</v>
      </c>
      <c r="C13" s="188">
        <v>6</v>
      </c>
      <c r="F13" s="188">
        <v>6</v>
      </c>
      <c r="G13" s="188">
        <v>6</v>
      </c>
      <c r="P13" s="194">
        <v>44</v>
      </c>
      <c r="Q13" s="194">
        <v>36</v>
      </c>
      <c r="R13" s="194">
        <v>19</v>
      </c>
      <c r="S13" s="194">
        <v>17</v>
      </c>
      <c r="W13" s="194">
        <v>13</v>
      </c>
      <c r="X13" s="194">
        <v>13</v>
      </c>
    </row>
    <row r="14" spans="1:24" ht="12.75">
      <c r="A14" s="188">
        <v>12</v>
      </c>
      <c r="B14" s="189" t="s">
        <v>158</v>
      </c>
      <c r="C14" s="188">
        <v>6.1</v>
      </c>
      <c r="E14" s="188">
        <v>6.1</v>
      </c>
      <c r="F14" s="188">
        <v>6.1</v>
      </c>
      <c r="G14" s="188">
        <v>6.1</v>
      </c>
      <c r="P14" s="194">
        <v>51</v>
      </c>
      <c r="Q14" s="194">
        <v>37</v>
      </c>
      <c r="R14" s="194">
        <v>20</v>
      </c>
      <c r="S14" s="194">
        <v>18</v>
      </c>
      <c r="V14" s="194">
        <v>14</v>
      </c>
      <c r="W14" s="194">
        <v>14</v>
      </c>
      <c r="X14" s="194">
        <v>14</v>
      </c>
    </row>
    <row r="15" spans="1:24" ht="12.75">
      <c r="A15" s="188">
        <v>12</v>
      </c>
      <c r="B15" s="189" t="s">
        <v>159</v>
      </c>
      <c r="C15" s="188">
        <v>6.1</v>
      </c>
      <c r="F15" s="188">
        <v>6.1</v>
      </c>
      <c r="G15" s="188">
        <v>6.1</v>
      </c>
      <c r="P15" s="195"/>
      <c r="Q15" s="194">
        <v>41</v>
      </c>
      <c r="R15" s="194">
        <v>21</v>
      </c>
      <c r="S15" s="194">
        <v>19</v>
      </c>
      <c r="W15" s="194">
        <v>15</v>
      </c>
      <c r="X15" s="194">
        <v>15</v>
      </c>
    </row>
    <row r="16" spans="1:24" ht="12.75">
      <c r="A16" s="188">
        <v>14</v>
      </c>
      <c r="B16" s="189" t="s">
        <v>160</v>
      </c>
      <c r="C16" s="188">
        <v>6.3</v>
      </c>
      <c r="F16" s="188">
        <v>6.3</v>
      </c>
      <c r="G16" s="188">
        <v>6.3</v>
      </c>
      <c r="P16" s="194"/>
      <c r="Q16" s="194">
        <v>42</v>
      </c>
      <c r="R16" s="194">
        <v>22</v>
      </c>
      <c r="S16" s="194">
        <v>20</v>
      </c>
      <c r="W16" s="194">
        <v>16</v>
      </c>
      <c r="X16" s="194">
        <v>16</v>
      </c>
    </row>
    <row r="17" spans="1:24" ht="16.5" customHeight="1">
      <c r="A17" s="188">
        <v>14</v>
      </c>
      <c r="B17" s="189" t="s">
        <v>161</v>
      </c>
      <c r="C17" s="188">
        <v>6.3</v>
      </c>
      <c r="E17" s="188">
        <v>6.3</v>
      </c>
      <c r="G17" s="188">
        <v>6.3</v>
      </c>
      <c r="P17" s="194"/>
      <c r="Q17" s="194">
        <v>46</v>
      </c>
      <c r="R17" s="194">
        <v>25</v>
      </c>
      <c r="S17" s="194">
        <v>21</v>
      </c>
      <c r="V17" s="194">
        <v>17</v>
      </c>
      <c r="X17" s="194">
        <v>17</v>
      </c>
    </row>
    <row r="18" spans="1:24" ht="12.75">
      <c r="A18" s="188">
        <v>16</v>
      </c>
      <c r="B18" s="189" t="s">
        <v>162</v>
      </c>
      <c r="C18" s="188">
        <v>6.7</v>
      </c>
      <c r="G18" s="188">
        <v>6.7</v>
      </c>
      <c r="P18" s="194"/>
      <c r="Q18" s="194"/>
      <c r="R18" s="194">
        <v>26</v>
      </c>
      <c r="S18" s="194">
        <v>22</v>
      </c>
      <c r="X18" s="194">
        <v>18</v>
      </c>
    </row>
    <row r="19" spans="1:24" ht="12.75">
      <c r="A19" s="188">
        <v>16</v>
      </c>
      <c r="B19" s="189" t="s">
        <v>163</v>
      </c>
      <c r="C19" s="188">
        <v>6.7</v>
      </c>
      <c r="D19" s="188">
        <v>6.7</v>
      </c>
      <c r="E19" s="188">
        <v>6.7</v>
      </c>
      <c r="F19" s="188">
        <v>6.7</v>
      </c>
      <c r="G19" s="188">
        <v>6.7</v>
      </c>
      <c r="P19" s="194"/>
      <c r="Q19" s="194"/>
      <c r="R19" s="194">
        <v>27</v>
      </c>
      <c r="S19" s="194">
        <v>23</v>
      </c>
      <c r="U19" s="194">
        <v>19</v>
      </c>
      <c r="V19" s="194">
        <v>19</v>
      </c>
      <c r="W19" s="194">
        <v>19</v>
      </c>
      <c r="X19" s="194">
        <v>19</v>
      </c>
    </row>
    <row r="20" spans="1:24" ht="12.75">
      <c r="A20" s="188">
        <v>16</v>
      </c>
      <c r="B20" s="189" t="s">
        <v>164</v>
      </c>
      <c r="C20" s="188">
        <v>6.7</v>
      </c>
      <c r="D20" s="188">
        <v>6.7</v>
      </c>
      <c r="F20" s="188">
        <v>6.7</v>
      </c>
      <c r="G20" s="188">
        <v>6.7</v>
      </c>
      <c r="P20" s="194"/>
      <c r="Q20" s="194"/>
      <c r="R20" s="194">
        <v>29</v>
      </c>
      <c r="S20" s="194">
        <v>24</v>
      </c>
      <c r="U20" s="194">
        <v>20</v>
      </c>
      <c r="W20" s="194">
        <v>20</v>
      </c>
      <c r="X20" s="194">
        <v>20</v>
      </c>
    </row>
    <row r="21" spans="1:24" ht="12.75">
      <c r="A21" s="188">
        <v>19</v>
      </c>
      <c r="B21" s="189" t="s">
        <v>165</v>
      </c>
      <c r="C21" s="188">
        <v>6.8</v>
      </c>
      <c r="E21" s="188">
        <v>6.8</v>
      </c>
      <c r="F21" s="188">
        <v>6.8</v>
      </c>
      <c r="G21" s="188">
        <v>6.8</v>
      </c>
      <c r="P21" s="194"/>
      <c r="Q21" s="195"/>
      <c r="R21" s="194">
        <v>31</v>
      </c>
      <c r="S21" s="194">
        <v>26</v>
      </c>
      <c r="V21" s="194">
        <v>21</v>
      </c>
      <c r="W21" s="194">
        <v>21</v>
      </c>
      <c r="X21" s="194">
        <v>21</v>
      </c>
    </row>
    <row r="22" spans="1:24" ht="12.75">
      <c r="A22" s="188">
        <v>20</v>
      </c>
      <c r="B22" s="189" t="s">
        <v>166</v>
      </c>
      <c r="C22" s="188">
        <v>6.9</v>
      </c>
      <c r="F22" s="188">
        <v>6.9</v>
      </c>
      <c r="G22" s="188">
        <v>6.9</v>
      </c>
      <c r="P22" s="194"/>
      <c r="Q22" s="194"/>
      <c r="R22" s="194">
        <v>34</v>
      </c>
      <c r="S22" s="194">
        <v>27</v>
      </c>
      <c r="W22" s="194">
        <v>22</v>
      </c>
      <c r="X22" s="194">
        <v>22</v>
      </c>
    </row>
    <row r="23" spans="1:24" ht="12.75">
      <c r="A23" s="188">
        <v>20</v>
      </c>
      <c r="B23" s="189" t="s">
        <v>167</v>
      </c>
      <c r="C23" s="188">
        <v>6.9</v>
      </c>
      <c r="E23" s="188">
        <v>6.9</v>
      </c>
      <c r="G23" s="188">
        <v>6.9</v>
      </c>
      <c r="P23" s="194"/>
      <c r="Q23" s="194"/>
      <c r="R23" s="194">
        <v>36</v>
      </c>
      <c r="S23" s="194">
        <v>29</v>
      </c>
      <c r="V23" s="194">
        <v>23</v>
      </c>
      <c r="X23" s="194">
        <v>23</v>
      </c>
    </row>
    <row r="24" spans="1:24" ht="12.75">
      <c r="A24" s="188">
        <v>20</v>
      </c>
      <c r="B24" s="189" t="s">
        <v>168</v>
      </c>
      <c r="C24" s="188">
        <v>6.9</v>
      </c>
      <c r="D24" s="188">
        <v>6.9</v>
      </c>
      <c r="G24" s="188">
        <v>6.9</v>
      </c>
      <c r="P24" s="194"/>
      <c r="Q24" s="194"/>
      <c r="R24" s="194">
        <v>38</v>
      </c>
      <c r="S24" s="194">
        <v>30</v>
      </c>
      <c r="U24" s="194">
        <v>24</v>
      </c>
      <c r="X24" s="194">
        <v>24</v>
      </c>
    </row>
    <row r="25" spans="1:23" ht="12.75">
      <c r="A25" s="188">
        <v>23</v>
      </c>
      <c r="B25" s="189" t="s">
        <v>169</v>
      </c>
      <c r="C25" s="188">
        <v>7.1</v>
      </c>
      <c r="F25" s="188">
        <v>7.1</v>
      </c>
      <c r="P25" s="194"/>
      <c r="Q25" s="194"/>
      <c r="R25" s="194">
        <v>39</v>
      </c>
      <c r="S25" s="194">
        <v>31</v>
      </c>
      <c r="W25" s="194">
        <v>25</v>
      </c>
    </row>
    <row r="26" spans="1:24" ht="12.75">
      <c r="A26" s="188">
        <v>24</v>
      </c>
      <c r="B26" s="189" t="s">
        <v>170</v>
      </c>
      <c r="C26" s="188">
        <v>7.1</v>
      </c>
      <c r="E26" s="188">
        <v>7.1</v>
      </c>
      <c r="F26" s="188">
        <v>7.1</v>
      </c>
      <c r="G26" s="188">
        <v>7.1</v>
      </c>
      <c r="P26" s="194"/>
      <c r="Q26" s="194"/>
      <c r="R26" s="194">
        <v>40</v>
      </c>
      <c r="S26" s="194">
        <v>34</v>
      </c>
      <c r="V26" s="194">
        <v>26</v>
      </c>
      <c r="W26" s="194">
        <v>26</v>
      </c>
      <c r="X26" s="194">
        <v>26</v>
      </c>
    </row>
    <row r="27" spans="1:24" ht="12.75">
      <c r="A27" s="188">
        <v>24</v>
      </c>
      <c r="B27" s="189" t="s">
        <v>171</v>
      </c>
      <c r="C27" s="188">
        <v>7.2</v>
      </c>
      <c r="E27" s="188">
        <v>7.2</v>
      </c>
      <c r="F27" s="188">
        <v>7.2</v>
      </c>
      <c r="G27" s="188">
        <v>7.2</v>
      </c>
      <c r="P27" s="194"/>
      <c r="Q27" s="194"/>
      <c r="R27" s="194">
        <v>42</v>
      </c>
      <c r="S27" s="194">
        <v>35</v>
      </c>
      <c r="V27" s="194">
        <v>27</v>
      </c>
      <c r="W27" s="194">
        <v>27</v>
      </c>
      <c r="X27" s="194">
        <v>27</v>
      </c>
    </row>
    <row r="28" spans="1:22" ht="12.75">
      <c r="A28" s="188">
        <v>24</v>
      </c>
      <c r="B28" s="189" t="s">
        <v>172</v>
      </c>
      <c r="C28" s="188">
        <v>7.2</v>
      </c>
      <c r="E28" s="188">
        <v>7.2</v>
      </c>
      <c r="P28" s="194"/>
      <c r="Q28" s="194"/>
      <c r="R28" s="194">
        <v>43</v>
      </c>
      <c r="S28" s="194">
        <v>36</v>
      </c>
      <c r="V28" s="194">
        <v>28</v>
      </c>
    </row>
    <row r="29" spans="1:24" ht="12.75">
      <c r="A29" s="188">
        <v>27</v>
      </c>
      <c r="B29" s="189" t="s">
        <v>173</v>
      </c>
      <c r="C29" s="188">
        <v>7.3</v>
      </c>
      <c r="F29" s="188">
        <v>7.3</v>
      </c>
      <c r="G29" s="188">
        <v>7.3</v>
      </c>
      <c r="P29" s="194"/>
      <c r="Q29" s="194"/>
      <c r="R29" s="194">
        <v>44</v>
      </c>
      <c r="S29" s="194">
        <v>37</v>
      </c>
      <c r="W29" s="194">
        <v>29</v>
      </c>
      <c r="X29" s="194">
        <v>29</v>
      </c>
    </row>
    <row r="30" spans="1:24" ht="12.75">
      <c r="A30" s="188">
        <v>28</v>
      </c>
      <c r="B30" s="189" t="s">
        <v>174</v>
      </c>
      <c r="C30" s="188">
        <v>7.4</v>
      </c>
      <c r="G30" s="188">
        <v>7.4</v>
      </c>
      <c r="P30" s="194"/>
      <c r="Q30" s="194"/>
      <c r="R30" s="194">
        <v>45</v>
      </c>
      <c r="S30" s="194">
        <v>39</v>
      </c>
      <c r="X30" s="194">
        <v>30</v>
      </c>
    </row>
    <row r="31" spans="1:24" ht="12.75">
      <c r="A31" s="188">
        <v>28</v>
      </c>
      <c r="B31" s="189" t="s">
        <v>175</v>
      </c>
      <c r="C31" s="188">
        <v>7.4</v>
      </c>
      <c r="E31" s="188">
        <v>7.4</v>
      </c>
      <c r="F31" s="188">
        <v>7.4</v>
      </c>
      <c r="G31" s="188">
        <v>7.4</v>
      </c>
      <c r="P31" s="194"/>
      <c r="Q31" s="194"/>
      <c r="R31" s="194">
        <v>50</v>
      </c>
      <c r="S31" s="194">
        <v>40</v>
      </c>
      <c r="V31" s="194">
        <v>31</v>
      </c>
      <c r="W31" s="194">
        <v>31</v>
      </c>
      <c r="X31" s="194">
        <v>31</v>
      </c>
    </row>
    <row r="32" spans="1:21" ht="12.75">
      <c r="A32" s="188">
        <v>30</v>
      </c>
      <c r="B32" s="189" t="s">
        <v>176</v>
      </c>
      <c r="C32" s="188">
        <v>7.7</v>
      </c>
      <c r="D32" s="188">
        <v>7.7</v>
      </c>
      <c r="P32" s="194"/>
      <c r="Q32" s="194"/>
      <c r="R32" s="194">
        <v>52</v>
      </c>
      <c r="S32" s="194">
        <v>41</v>
      </c>
      <c r="U32" s="194">
        <v>32</v>
      </c>
    </row>
    <row r="33" spans="1:19" ht="12.75">
      <c r="A33" s="188">
        <v>30</v>
      </c>
      <c r="B33" s="189" t="s">
        <v>177</v>
      </c>
      <c r="C33" s="188">
        <v>7.7</v>
      </c>
      <c r="P33" s="194"/>
      <c r="Q33" s="194"/>
      <c r="R33" s="194"/>
      <c r="S33" s="194">
        <v>42</v>
      </c>
    </row>
    <row r="34" spans="1:24" ht="12.75">
      <c r="A34" s="188">
        <v>32</v>
      </c>
      <c r="B34" s="189" t="s">
        <v>178</v>
      </c>
      <c r="C34" s="188">
        <v>7.8</v>
      </c>
      <c r="F34" s="188">
        <v>7.8</v>
      </c>
      <c r="G34" s="188">
        <v>7.8</v>
      </c>
      <c r="P34" s="194"/>
      <c r="Q34" s="194"/>
      <c r="R34" s="194"/>
      <c r="S34" s="194">
        <v>43</v>
      </c>
      <c r="W34" s="194">
        <v>34</v>
      </c>
      <c r="X34" s="194">
        <v>34</v>
      </c>
    </row>
    <row r="35" spans="1:24" ht="12.75">
      <c r="A35" s="188">
        <v>33</v>
      </c>
      <c r="B35" s="189" t="s">
        <v>179</v>
      </c>
      <c r="C35" s="188">
        <v>7.9</v>
      </c>
      <c r="G35" s="188">
        <v>7.9</v>
      </c>
      <c r="P35" s="194"/>
      <c r="Q35" s="194"/>
      <c r="R35" s="194"/>
      <c r="S35" s="194">
        <v>44</v>
      </c>
      <c r="X35" s="194">
        <v>35</v>
      </c>
    </row>
    <row r="36" spans="1:24" ht="12.75">
      <c r="A36" s="188">
        <v>33</v>
      </c>
      <c r="B36" s="189" t="s">
        <v>180</v>
      </c>
      <c r="C36" s="188">
        <v>7.9</v>
      </c>
      <c r="E36" s="188">
        <v>7.9</v>
      </c>
      <c r="F36" s="188">
        <v>7.9</v>
      </c>
      <c r="G36" s="188">
        <v>7.9</v>
      </c>
      <c r="P36" s="194"/>
      <c r="Q36" s="194"/>
      <c r="R36" s="194"/>
      <c r="S36" s="194">
        <v>45</v>
      </c>
      <c r="V36" s="194">
        <v>36</v>
      </c>
      <c r="W36" s="194">
        <v>36</v>
      </c>
      <c r="X36" s="194">
        <v>36</v>
      </c>
    </row>
    <row r="37" spans="1:24" ht="12.75">
      <c r="A37" s="188">
        <v>35</v>
      </c>
      <c r="B37" s="189" t="s">
        <v>181</v>
      </c>
      <c r="C37" s="188">
        <v>8.1</v>
      </c>
      <c r="E37" s="188">
        <v>8.1</v>
      </c>
      <c r="G37" s="188">
        <v>8.1</v>
      </c>
      <c r="P37" s="194"/>
      <c r="Q37" s="194"/>
      <c r="R37" s="194"/>
      <c r="S37" s="194">
        <v>48</v>
      </c>
      <c r="V37" s="194">
        <v>37</v>
      </c>
      <c r="X37" s="194">
        <v>37</v>
      </c>
    </row>
    <row r="38" spans="1:23" ht="12.75">
      <c r="A38" s="188">
        <v>36</v>
      </c>
      <c r="B38" s="189" t="s">
        <v>182</v>
      </c>
      <c r="C38" s="188">
        <v>8.2</v>
      </c>
      <c r="F38" s="188">
        <v>8.2</v>
      </c>
      <c r="P38" s="194"/>
      <c r="Q38" s="194"/>
      <c r="R38" s="194"/>
      <c r="S38" s="194">
        <v>49</v>
      </c>
      <c r="W38" s="194">
        <v>38</v>
      </c>
    </row>
    <row r="39" spans="1:24" ht="12.75">
      <c r="A39" s="188">
        <v>37</v>
      </c>
      <c r="B39" s="189" t="s">
        <v>183</v>
      </c>
      <c r="C39" s="188">
        <v>8.3</v>
      </c>
      <c r="D39" s="188">
        <v>8.3</v>
      </c>
      <c r="F39" s="188">
        <v>8.3</v>
      </c>
      <c r="G39" s="188">
        <v>8.3</v>
      </c>
      <c r="P39" s="194"/>
      <c r="Q39" s="194"/>
      <c r="R39" s="194"/>
      <c r="S39" s="194">
        <v>50</v>
      </c>
      <c r="U39" s="194">
        <v>39</v>
      </c>
      <c r="W39" s="194">
        <v>39</v>
      </c>
      <c r="X39" s="194">
        <v>39</v>
      </c>
    </row>
    <row r="40" spans="1:24" ht="12.75">
      <c r="A40" s="188">
        <v>37</v>
      </c>
      <c r="B40" s="189" t="s">
        <v>184</v>
      </c>
      <c r="C40" s="188">
        <v>8.3</v>
      </c>
      <c r="F40" s="188">
        <v>8.3</v>
      </c>
      <c r="G40" s="188">
        <v>8.3</v>
      </c>
      <c r="P40" s="194"/>
      <c r="Q40" s="194"/>
      <c r="R40" s="194"/>
      <c r="S40" s="194">
        <v>51</v>
      </c>
      <c r="W40" s="194">
        <v>40</v>
      </c>
      <c r="X40" s="194">
        <v>40</v>
      </c>
    </row>
    <row r="41" spans="1:24" ht="12.75">
      <c r="A41" s="188">
        <v>39</v>
      </c>
      <c r="B41" s="189" t="s">
        <v>185</v>
      </c>
      <c r="C41" s="188">
        <v>8.5</v>
      </c>
      <c r="E41" s="188">
        <v>8.5</v>
      </c>
      <c r="G41" s="188">
        <v>8.5</v>
      </c>
      <c r="P41" s="194"/>
      <c r="Q41" s="194"/>
      <c r="R41" s="194"/>
      <c r="S41" s="194">
        <v>52</v>
      </c>
      <c r="V41" s="194">
        <v>41</v>
      </c>
      <c r="X41" s="194">
        <v>41</v>
      </c>
    </row>
    <row r="42" spans="1:24" ht="12.75">
      <c r="A42" s="188">
        <v>39</v>
      </c>
      <c r="B42" s="189" t="s">
        <v>186</v>
      </c>
      <c r="C42" s="188">
        <v>8.5</v>
      </c>
      <c r="D42" s="188">
        <v>8.5</v>
      </c>
      <c r="E42" s="188">
        <v>8.5</v>
      </c>
      <c r="F42" s="188">
        <v>8.5</v>
      </c>
      <c r="G42" s="188">
        <v>8.5</v>
      </c>
      <c r="P42" s="194"/>
      <c r="Q42" s="194"/>
      <c r="R42" s="195"/>
      <c r="S42" s="194">
        <v>53</v>
      </c>
      <c r="U42" s="194">
        <v>42</v>
      </c>
      <c r="V42" s="194">
        <v>42</v>
      </c>
      <c r="W42" s="194">
        <v>42</v>
      </c>
      <c r="X42" s="194">
        <v>42</v>
      </c>
    </row>
    <row r="43" spans="1:24" ht="12.75">
      <c r="A43" s="188">
        <v>41</v>
      </c>
      <c r="B43" s="189" t="s">
        <v>187</v>
      </c>
      <c r="C43" s="188">
        <v>8.7</v>
      </c>
      <c r="F43" s="188">
        <v>8.7</v>
      </c>
      <c r="G43" s="188">
        <v>8.7</v>
      </c>
      <c r="P43" s="194"/>
      <c r="Q43" s="194"/>
      <c r="R43" s="194"/>
      <c r="S43" s="194"/>
      <c r="W43" s="194">
        <v>43</v>
      </c>
      <c r="X43" s="194">
        <v>43</v>
      </c>
    </row>
    <row r="44" spans="1:24" ht="12.75">
      <c r="A44" s="188">
        <v>41</v>
      </c>
      <c r="B44" s="189" t="s">
        <v>188</v>
      </c>
      <c r="C44" s="188">
        <v>8.7</v>
      </c>
      <c r="D44" s="188">
        <v>8.7</v>
      </c>
      <c r="F44" s="188">
        <v>8.7</v>
      </c>
      <c r="G44" s="188">
        <v>8.7</v>
      </c>
      <c r="P44" s="194"/>
      <c r="Q44" s="194"/>
      <c r="R44" s="194"/>
      <c r="S44" s="194"/>
      <c r="U44" s="194">
        <v>44</v>
      </c>
      <c r="W44" s="194">
        <v>44</v>
      </c>
      <c r="X44" s="194">
        <v>44</v>
      </c>
    </row>
    <row r="45" spans="1:24" ht="12.75">
      <c r="A45" s="188">
        <v>41</v>
      </c>
      <c r="B45" s="189" t="s">
        <v>189</v>
      </c>
      <c r="C45" s="188">
        <v>8.7</v>
      </c>
      <c r="F45" s="188">
        <v>8.7</v>
      </c>
      <c r="G45" s="188">
        <v>8.7</v>
      </c>
      <c r="P45" s="194"/>
      <c r="Q45" s="194"/>
      <c r="R45" s="194"/>
      <c r="S45" s="194"/>
      <c r="W45" s="194">
        <v>45</v>
      </c>
      <c r="X45" s="194">
        <v>45</v>
      </c>
    </row>
    <row r="46" spans="1:22" ht="15.75" customHeight="1">
      <c r="A46" s="188">
        <v>44</v>
      </c>
      <c r="B46" s="189" t="s">
        <v>190</v>
      </c>
      <c r="C46" s="188">
        <v>8.8</v>
      </c>
      <c r="E46" s="188">
        <v>8.8</v>
      </c>
      <c r="P46" s="194"/>
      <c r="Q46" s="194"/>
      <c r="R46" s="194"/>
      <c r="S46" s="194"/>
      <c r="V46" s="194">
        <v>46</v>
      </c>
    </row>
    <row r="47" spans="1:19" ht="12.75">
      <c r="A47" s="188">
        <v>45</v>
      </c>
      <c r="B47" s="189" t="s">
        <v>191</v>
      </c>
      <c r="C47" s="188">
        <v>8.9</v>
      </c>
      <c r="P47" s="194"/>
      <c r="Q47" s="194"/>
      <c r="R47" s="194"/>
      <c r="S47" s="194"/>
    </row>
    <row r="48" spans="1:24" ht="12.75">
      <c r="A48" s="188">
        <v>46</v>
      </c>
      <c r="B48" s="189" t="s">
        <v>192</v>
      </c>
      <c r="C48" s="188">
        <v>9.1</v>
      </c>
      <c r="G48" s="188">
        <v>9.1</v>
      </c>
      <c r="P48" s="194"/>
      <c r="Q48" s="194"/>
      <c r="R48" s="194"/>
      <c r="S48" s="194"/>
      <c r="X48" s="194">
        <v>48</v>
      </c>
    </row>
    <row r="49" spans="1:24" ht="18" customHeight="1">
      <c r="A49" s="188">
        <v>47</v>
      </c>
      <c r="B49" s="189" t="s">
        <v>193</v>
      </c>
      <c r="C49" s="188">
        <v>9.4</v>
      </c>
      <c r="G49" s="188">
        <v>9.4</v>
      </c>
      <c r="P49" s="194"/>
      <c r="Q49" s="194"/>
      <c r="R49" s="194"/>
      <c r="S49" s="194"/>
      <c r="X49" s="194">
        <v>49</v>
      </c>
    </row>
    <row r="50" spans="1:24" ht="17.25" customHeight="1">
      <c r="A50" s="188">
        <v>48</v>
      </c>
      <c r="B50" s="193" t="s">
        <v>194</v>
      </c>
      <c r="C50" s="188">
        <v>9.5</v>
      </c>
      <c r="F50" s="188">
        <v>9.5</v>
      </c>
      <c r="G50" s="188">
        <v>9.5</v>
      </c>
      <c r="P50" s="194"/>
      <c r="Q50" s="194"/>
      <c r="R50" s="194"/>
      <c r="S50" s="194"/>
      <c r="W50" s="194">
        <v>50</v>
      </c>
      <c r="X50" s="194">
        <v>50</v>
      </c>
    </row>
    <row r="51" spans="1:24" ht="12.75">
      <c r="A51" s="188">
        <v>49</v>
      </c>
      <c r="B51" s="189" t="s">
        <v>195</v>
      </c>
      <c r="C51" s="188">
        <v>10.9</v>
      </c>
      <c r="D51" s="188">
        <v>10.9</v>
      </c>
      <c r="G51" s="188">
        <v>10.9</v>
      </c>
      <c r="U51" s="194">
        <v>51</v>
      </c>
      <c r="X51" s="194">
        <v>51</v>
      </c>
    </row>
    <row r="52" spans="1:24" ht="12.75">
      <c r="A52" s="188">
        <v>50</v>
      </c>
      <c r="B52" s="189" t="s">
        <v>196</v>
      </c>
      <c r="C52" s="188">
        <v>11.2</v>
      </c>
      <c r="F52" s="188">
        <v>11.2</v>
      </c>
      <c r="G52" s="188">
        <v>11.2</v>
      </c>
      <c r="W52" s="194">
        <v>52</v>
      </c>
      <c r="X52" s="194">
        <v>52</v>
      </c>
    </row>
    <row r="53" spans="1:24" ht="12.75">
      <c r="A53" s="188">
        <v>51</v>
      </c>
      <c r="B53" s="189" t="s">
        <v>197</v>
      </c>
      <c r="C53" s="188">
        <v>11.7</v>
      </c>
      <c r="G53" s="188">
        <v>11.7</v>
      </c>
      <c r="X53" s="194">
        <v>53</v>
      </c>
    </row>
    <row r="54" ht="12.75">
      <c r="I54" s="195"/>
    </row>
    <row r="55" spans="2:7" ht="12.75">
      <c r="B55" s="190" t="s">
        <v>198</v>
      </c>
      <c r="C55">
        <f>AVERAGE(C3:C53)</f>
        <v>7.274509803921567</v>
      </c>
      <c r="D55">
        <f>AVERAGE(D3:D53)</f>
        <v>6.991666666666667</v>
      </c>
      <c r="E55">
        <f>AVERAGE(E3:E53)</f>
        <v>7.233333333333333</v>
      </c>
      <c r="F55">
        <f>AVERAGE(F3:F53)</f>
        <v>7.056666666666666</v>
      </c>
      <c r="G55">
        <f>AVERAGE(G3:G53)</f>
        <v>7.45</v>
      </c>
    </row>
    <row r="56" spans="2:7" ht="12.75">
      <c r="B56" s="190" t="s">
        <v>199</v>
      </c>
      <c r="C56">
        <f>STDEV(C3:C53)</f>
        <v>1.7795328754765956</v>
      </c>
      <c r="D56">
        <f>STDEV(D3:D53)</f>
        <v>1.9477064989521913</v>
      </c>
      <c r="E56">
        <f>STDEV(E3:E53)</f>
        <v>1.0223688645680162</v>
      </c>
      <c r="F56">
        <f>STDEV(F3:F53)</f>
        <v>1.6378462167996952</v>
      </c>
      <c r="G56">
        <f>STDEV(G3:G53)</f>
        <v>1.708650689721917</v>
      </c>
    </row>
    <row r="57" spans="4:7" ht="12.75">
      <c r="D57" s="196" t="s">
        <v>203</v>
      </c>
      <c r="E57" s="196" t="s">
        <v>200</v>
      </c>
      <c r="F57" s="196" t="s">
        <v>204</v>
      </c>
      <c r="G57" s="196" t="s">
        <v>205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4:P15"/>
  <sheetViews>
    <sheetView zoomScalePageLayoutView="0" workbookViewId="0" topLeftCell="J1">
      <selection activeCell="T9" sqref="T9"/>
    </sheetView>
  </sheetViews>
  <sheetFormatPr defaultColWidth="9.140625" defaultRowHeight="12.75"/>
  <sheetData>
    <row r="4" spans="4:16" ht="12.75">
      <c r="D4" t="s">
        <v>216</v>
      </c>
      <c r="E4" t="s">
        <v>217</v>
      </c>
      <c r="F4" t="s">
        <v>218</v>
      </c>
      <c r="G4" t="s">
        <v>219</v>
      </c>
      <c r="H4" t="s">
        <v>220</v>
      </c>
      <c r="L4" t="s">
        <v>216</v>
      </c>
      <c r="M4" t="s">
        <v>217</v>
      </c>
      <c r="N4" t="s">
        <v>218</v>
      </c>
      <c r="O4" t="s">
        <v>219</v>
      </c>
      <c r="P4" t="s">
        <v>220</v>
      </c>
    </row>
    <row r="5" spans="3:16" ht="12.75">
      <c r="C5">
        <v>1</v>
      </c>
      <c r="D5" s="199">
        <v>35</v>
      </c>
      <c r="E5" s="199">
        <v>25</v>
      </c>
      <c r="F5" s="200">
        <f>D5-E5</f>
        <v>10</v>
      </c>
      <c r="G5" s="200">
        <f>F5^2</f>
        <v>100</v>
      </c>
      <c r="H5" s="200">
        <f>G5/E5</f>
        <v>4</v>
      </c>
      <c r="K5">
        <v>1</v>
      </c>
      <c r="L5" s="199">
        <v>24</v>
      </c>
      <c r="M5" s="199">
        <v>26.7</v>
      </c>
      <c r="N5" s="448">
        <f>L5-M5</f>
        <v>-2.6999999999999993</v>
      </c>
      <c r="O5" s="448">
        <f>N5^2</f>
        <v>7.2899999999999965</v>
      </c>
      <c r="P5" s="448">
        <f>O5/M5</f>
        <v>0.2730337078651684</v>
      </c>
    </row>
    <row r="6" spans="3:16" ht="12.75">
      <c r="C6">
        <v>2</v>
      </c>
      <c r="D6" s="199">
        <v>20</v>
      </c>
      <c r="E6" s="199">
        <v>15</v>
      </c>
      <c r="F6" s="200">
        <f>D6-E6</f>
        <v>5</v>
      </c>
      <c r="G6" s="200">
        <f>F6^2</f>
        <v>25</v>
      </c>
      <c r="H6" s="200">
        <f>G6/E6</f>
        <v>1.6666666666666667</v>
      </c>
      <c r="K6">
        <v>2</v>
      </c>
      <c r="L6" s="199">
        <v>62</v>
      </c>
      <c r="M6" s="199">
        <v>55.1</v>
      </c>
      <c r="N6" s="448">
        <f>L6-M6</f>
        <v>6.899999999999999</v>
      </c>
      <c r="O6" s="448">
        <f>N6^2</f>
        <v>47.60999999999998</v>
      </c>
      <c r="P6" s="448">
        <f>O6/M6</f>
        <v>0.8640653357531757</v>
      </c>
    </row>
    <row r="7" spans="3:16" ht="12.75">
      <c r="C7">
        <v>3</v>
      </c>
      <c r="D7" s="199">
        <v>25</v>
      </c>
      <c r="E7" s="199">
        <v>40</v>
      </c>
      <c r="F7" s="200">
        <f>D7-E7</f>
        <v>-15</v>
      </c>
      <c r="G7" s="200">
        <f>F7^2</f>
        <v>225</v>
      </c>
      <c r="H7" s="200">
        <f>G7/E7</f>
        <v>5.625</v>
      </c>
      <c r="K7">
        <v>3</v>
      </c>
      <c r="L7" s="199">
        <v>72</v>
      </c>
      <c r="M7" s="199">
        <v>66.64</v>
      </c>
      <c r="N7" s="448">
        <f>L7-M7</f>
        <v>5.359999999999999</v>
      </c>
      <c r="O7" s="448">
        <f>N7^2</f>
        <v>28.729599999999994</v>
      </c>
      <c r="P7" s="448">
        <f>O7/M7</f>
        <v>0.43111644657863135</v>
      </c>
    </row>
    <row r="8" spans="3:16" ht="12.75">
      <c r="C8">
        <v>4</v>
      </c>
      <c r="D8" s="199">
        <v>20</v>
      </c>
      <c r="E8" s="199">
        <v>20</v>
      </c>
      <c r="F8" s="200">
        <f>D8-E8</f>
        <v>0</v>
      </c>
      <c r="G8" s="200">
        <f>F8^2</f>
        <v>0</v>
      </c>
      <c r="H8" s="200">
        <f>G8/E8</f>
        <v>0</v>
      </c>
      <c r="K8">
        <v>4</v>
      </c>
      <c r="L8" s="199">
        <v>26</v>
      </c>
      <c r="M8" s="199">
        <v>38.96</v>
      </c>
      <c r="N8" s="448">
        <f>L8-M8</f>
        <v>-12.96</v>
      </c>
      <c r="O8" s="448">
        <f>N8^2</f>
        <v>167.96160000000003</v>
      </c>
      <c r="P8" s="448">
        <f>O8/M8</f>
        <v>4.311129363449693</v>
      </c>
    </row>
    <row r="9" spans="3:16" ht="12.75">
      <c r="C9">
        <v>5</v>
      </c>
      <c r="D9" s="199"/>
      <c r="E9" s="199"/>
      <c r="F9" s="200"/>
      <c r="G9" s="200"/>
      <c r="H9" s="200"/>
      <c r="K9">
        <v>5</v>
      </c>
      <c r="L9" s="199">
        <v>16</v>
      </c>
      <c r="M9" s="199">
        <v>12.6</v>
      </c>
      <c r="N9" s="448">
        <f>L9-M9</f>
        <v>3.4000000000000004</v>
      </c>
      <c r="O9" s="448">
        <f>N9^2</f>
        <v>11.560000000000002</v>
      </c>
      <c r="P9" s="448">
        <f>O9/M9</f>
        <v>0.9174603174603176</v>
      </c>
    </row>
    <row r="10" spans="3:16" ht="12.75">
      <c r="C10">
        <v>6</v>
      </c>
      <c r="D10" s="199"/>
      <c r="E10" s="199"/>
      <c r="F10" s="200"/>
      <c r="G10" s="200"/>
      <c r="H10" s="200"/>
      <c r="K10">
        <v>6</v>
      </c>
      <c r="L10" s="199"/>
      <c r="M10" s="199"/>
      <c r="N10" s="200"/>
      <c r="O10" s="200"/>
      <c r="P10" s="200"/>
    </row>
    <row r="12" spans="4:16" ht="12.75">
      <c r="D12" s="199" t="s">
        <v>224</v>
      </c>
      <c r="F12" t="s">
        <v>221</v>
      </c>
      <c r="H12" s="200">
        <f>SUM(H5:H10)</f>
        <v>11.291666666666668</v>
      </c>
      <c r="L12" s="199" t="s">
        <v>224</v>
      </c>
      <c r="N12" t="s">
        <v>221</v>
      </c>
      <c r="P12" s="200">
        <f>SUM(P5:P10)</f>
        <v>6.7968051711069855</v>
      </c>
    </row>
    <row r="13" spans="4:12" ht="12.75">
      <c r="D13" s="201">
        <v>3</v>
      </c>
      <c r="L13" s="201">
        <v>4</v>
      </c>
    </row>
    <row r="14" spans="5:13" ht="12.75">
      <c r="E14" t="s">
        <v>222</v>
      </c>
      <c r="M14" t="s">
        <v>222</v>
      </c>
    </row>
    <row r="15" spans="5:14" ht="12.75">
      <c r="E15" t="s">
        <v>223</v>
      </c>
      <c r="F15" s="192">
        <f>CHIDIST(H12,D13)</f>
        <v>0.010248881011662124</v>
      </c>
      <c r="M15" t="s">
        <v>223</v>
      </c>
      <c r="N15" s="192">
        <f>CHIDIST(P12,L13)</f>
        <v>0.1470237472695057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U43"/>
  <sheetViews>
    <sheetView zoomScalePageLayoutView="0" workbookViewId="0" topLeftCell="W1">
      <selection activeCell="AQ22" sqref="AQ22"/>
    </sheetView>
  </sheetViews>
  <sheetFormatPr defaultColWidth="9.140625" defaultRowHeight="12.75"/>
  <cols>
    <col min="1" max="1" width="5.00390625" style="0" customWidth="1"/>
    <col min="2" max="2" width="5.57421875" style="0" customWidth="1"/>
    <col min="3" max="4" width="5.28125" style="0" customWidth="1"/>
    <col min="6" max="6" width="1.421875" style="197" customWidth="1"/>
    <col min="11" max="11" width="1.57421875" style="197" customWidth="1"/>
    <col min="23" max="23" width="1.8515625" style="197" customWidth="1"/>
    <col min="35" max="35" width="2.28125" style="220" customWidth="1"/>
    <col min="47" max="47" width="1.57421875" style="0" customWidth="1"/>
  </cols>
  <sheetData>
    <row r="1" spans="1:47" ht="12.75">
      <c r="A1" s="194">
        <f ca="1">RANDBETWEEN(0,12)</f>
        <v>4</v>
      </c>
      <c r="B1" s="195" t="s">
        <v>206</v>
      </c>
      <c r="G1" s="194">
        <f ca="1">RANDBETWEEN(0,50)</f>
        <v>11</v>
      </c>
      <c r="H1" s="195" t="s">
        <v>207</v>
      </c>
      <c r="L1" s="194">
        <f ca="1">RANDBETWEEN(40,100)</f>
        <v>59</v>
      </c>
      <c r="M1" s="195" t="s">
        <v>208</v>
      </c>
      <c r="X1" s="220">
        <f ca="1">RANDBETWEEN(60,100)</f>
        <v>94</v>
      </c>
      <c r="Y1" s="221" t="s">
        <v>284</v>
      </c>
      <c r="Z1" s="220"/>
      <c r="AA1" s="220"/>
      <c r="AB1" s="220"/>
      <c r="AC1" s="220"/>
      <c r="AD1" s="220"/>
      <c r="AE1" s="220"/>
      <c r="AF1" s="220"/>
      <c r="AG1" s="220"/>
      <c r="AH1" s="220"/>
      <c r="AJ1" s="220">
        <f ca="1">RANDBETWEEN(6,10)</f>
        <v>10</v>
      </c>
      <c r="AK1" s="221" t="s">
        <v>285</v>
      </c>
      <c r="AL1" s="220"/>
      <c r="AM1" s="220"/>
      <c r="AN1" s="220"/>
      <c r="AO1" s="220"/>
      <c r="AP1" s="220"/>
      <c r="AQ1" s="220"/>
      <c r="AR1" s="220"/>
      <c r="AS1" s="220"/>
      <c r="AT1" s="220"/>
      <c r="AU1" s="220"/>
    </row>
    <row r="2" spans="1:47" ht="12.75">
      <c r="A2" s="194">
        <v>1</v>
      </c>
      <c r="B2" s="194">
        <v>1</v>
      </c>
      <c r="C2" s="194">
        <v>0</v>
      </c>
      <c r="D2" s="194">
        <v>0</v>
      </c>
      <c r="G2" s="194">
        <v>12</v>
      </c>
      <c r="H2" s="194">
        <v>1</v>
      </c>
      <c r="I2" s="194">
        <v>5</v>
      </c>
      <c r="J2" s="194">
        <v>3</v>
      </c>
      <c r="L2" s="194">
        <v>56</v>
      </c>
      <c r="M2" s="194">
        <v>88</v>
      </c>
      <c r="N2" s="194">
        <v>95</v>
      </c>
      <c r="O2" s="194">
        <v>51</v>
      </c>
      <c r="P2" s="194">
        <v>69</v>
      </c>
      <c r="Q2" s="194">
        <v>88</v>
      </c>
      <c r="R2" s="194">
        <v>66</v>
      </c>
      <c r="S2" s="194">
        <v>62</v>
      </c>
      <c r="T2" s="194">
        <v>50</v>
      </c>
      <c r="U2" s="194">
        <v>75</v>
      </c>
      <c r="V2" s="194">
        <v>66</v>
      </c>
      <c r="X2" s="194">
        <v>64</v>
      </c>
      <c r="Y2" s="194">
        <v>60</v>
      </c>
      <c r="Z2" s="194">
        <v>65</v>
      </c>
      <c r="AA2" s="194">
        <v>68</v>
      </c>
      <c r="AB2" s="194">
        <v>94</v>
      </c>
      <c r="AC2" s="194">
        <v>72</v>
      </c>
      <c r="AD2" s="194">
        <v>74</v>
      </c>
      <c r="AE2" s="194">
        <v>85</v>
      </c>
      <c r="AF2" s="194">
        <v>100</v>
      </c>
      <c r="AG2" s="194">
        <v>88</v>
      </c>
      <c r="AH2" s="194">
        <v>62</v>
      </c>
      <c r="AJ2" s="194">
        <v>7</v>
      </c>
      <c r="AK2" s="194">
        <v>7</v>
      </c>
      <c r="AL2" s="194">
        <v>6</v>
      </c>
      <c r="AM2" s="194">
        <v>6</v>
      </c>
      <c r="AN2" s="194">
        <v>7</v>
      </c>
      <c r="AO2" s="194">
        <v>10</v>
      </c>
      <c r="AP2" s="194">
        <v>8</v>
      </c>
      <c r="AQ2" s="194">
        <v>9</v>
      </c>
      <c r="AR2" s="194">
        <v>6</v>
      </c>
      <c r="AS2" s="194">
        <v>6</v>
      </c>
      <c r="AT2" s="194">
        <v>7</v>
      </c>
      <c r="AU2" s="220"/>
    </row>
    <row r="3" spans="1:47" ht="12.75">
      <c r="A3" s="194">
        <v>2</v>
      </c>
      <c r="B3" s="194">
        <v>1</v>
      </c>
      <c r="C3" s="194">
        <v>1</v>
      </c>
      <c r="D3" s="194">
        <v>0</v>
      </c>
      <c r="G3" s="194">
        <v>14</v>
      </c>
      <c r="H3" s="194">
        <v>2</v>
      </c>
      <c r="I3" s="194">
        <v>5</v>
      </c>
      <c r="J3" s="194">
        <v>6</v>
      </c>
      <c r="L3" s="194">
        <v>72</v>
      </c>
      <c r="M3" s="194">
        <v>42</v>
      </c>
      <c r="N3" s="194">
        <v>50</v>
      </c>
      <c r="O3" s="194">
        <v>55</v>
      </c>
      <c r="P3" s="194">
        <v>81</v>
      </c>
      <c r="Q3" s="194">
        <v>64</v>
      </c>
      <c r="R3" s="194">
        <v>85</v>
      </c>
      <c r="S3" s="194">
        <v>59</v>
      </c>
      <c r="T3" s="194">
        <v>57</v>
      </c>
      <c r="U3" s="194">
        <v>83</v>
      </c>
      <c r="V3" s="194">
        <v>65</v>
      </c>
      <c r="X3" s="194">
        <v>79</v>
      </c>
      <c r="Y3" s="194">
        <v>85</v>
      </c>
      <c r="Z3" s="194">
        <v>61</v>
      </c>
      <c r="AA3" s="194">
        <v>66</v>
      </c>
      <c r="AB3" s="194">
        <v>78</v>
      </c>
      <c r="AC3" s="194">
        <v>69</v>
      </c>
      <c r="AD3" s="194">
        <v>99</v>
      </c>
      <c r="AE3" s="194">
        <v>70</v>
      </c>
      <c r="AF3" s="194">
        <v>79</v>
      </c>
      <c r="AG3" s="194">
        <v>72</v>
      </c>
      <c r="AH3" s="194">
        <v>63</v>
      </c>
      <c r="AJ3" s="194">
        <v>6</v>
      </c>
      <c r="AK3" s="194">
        <v>8</v>
      </c>
      <c r="AL3" s="194">
        <v>10</v>
      </c>
      <c r="AM3" s="194">
        <v>10</v>
      </c>
      <c r="AN3" s="194">
        <v>7</v>
      </c>
      <c r="AO3" s="194">
        <v>9</v>
      </c>
      <c r="AP3" s="194">
        <v>7</v>
      </c>
      <c r="AQ3" s="194">
        <v>6</v>
      </c>
      <c r="AR3" s="194">
        <v>6</v>
      </c>
      <c r="AS3" s="194">
        <v>8</v>
      </c>
      <c r="AT3" s="194">
        <v>9</v>
      </c>
      <c r="AU3" s="220"/>
    </row>
    <row r="4" spans="1:47" ht="12.75">
      <c r="A4" s="194">
        <v>2</v>
      </c>
      <c r="B4" s="194">
        <v>3</v>
      </c>
      <c r="C4" s="194">
        <v>1</v>
      </c>
      <c r="D4" s="194">
        <v>1</v>
      </c>
      <c r="G4" s="194">
        <v>16</v>
      </c>
      <c r="H4" s="194">
        <v>2</v>
      </c>
      <c r="I4" s="194">
        <v>5</v>
      </c>
      <c r="J4" s="194">
        <v>10</v>
      </c>
      <c r="L4" s="194">
        <v>79</v>
      </c>
      <c r="M4" s="194">
        <v>92</v>
      </c>
      <c r="N4" s="194">
        <v>91</v>
      </c>
      <c r="O4" s="194">
        <v>78</v>
      </c>
      <c r="P4" s="194">
        <v>70</v>
      </c>
      <c r="Q4" s="194">
        <v>43</v>
      </c>
      <c r="R4" s="194">
        <v>57</v>
      </c>
      <c r="S4" s="194">
        <v>89</v>
      </c>
      <c r="T4" s="194">
        <v>58</v>
      </c>
      <c r="U4" s="194">
        <v>74</v>
      </c>
      <c r="V4" s="194">
        <v>42</v>
      </c>
      <c r="X4" s="194">
        <v>60</v>
      </c>
      <c r="Y4" s="194">
        <v>80</v>
      </c>
      <c r="Z4" s="194">
        <v>98</v>
      </c>
      <c r="AA4" s="194">
        <v>84</v>
      </c>
      <c r="AB4" s="194">
        <v>82</v>
      </c>
      <c r="AC4" s="194">
        <v>81</v>
      </c>
      <c r="AD4" s="194">
        <v>95</v>
      </c>
      <c r="AE4" s="194">
        <v>71</v>
      </c>
      <c r="AF4" s="194">
        <v>73</v>
      </c>
      <c r="AG4" s="194">
        <v>100</v>
      </c>
      <c r="AH4" s="194">
        <v>78</v>
      </c>
      <c r="AJ4" s="194">
        <v>9</v>
      </c>
      <c r="AK4" s="194">
        <v>6</v>
      </c>
      <c r="AL4" s="194">
        <v>8</v>
      </c>
      <c r="AM4" s="194">
        <v>9</v>
      </c>
      <c r="AN4" s="194">
        <v>7</v>
      </c>
      <c r="AO4" s="194">
        <v>10</v>
      </c>
      <c r="AP4" s="194">
        <v>6</v>
      </c>
      <c r="AQ4" s="194">
        <v>8</v>
      </c>
      <c r="AR4" s="194">
        <v>8</v>
      </c>
      <c r="AS4" s="194">
        <v>6</v>
      </c>
      <c r="AT4" s="194">
        <v>7</v>
      </c>
      <c r="AU4" s="220"/>
    </row>
    <row r="5" spans="1:47" ht="12.75">
      <c r="A5" s="194">
        <v>2</v>
      </c>
      <c r="B5" s="194">
        <v>4</v>
      </c>
      <c r="C5" s="194">
        <v>1</v>
      </c>
      <c r="D5" s="194">
        <v>3</v>
      </c>
      <c r="G5" s="194">
        <v>18</v>
      </c>
      <c r="H5" s="194">
        <v>2</v>
      </c>
      <c r="I5" s="194">
        <v>6</v>
      </c>
      <c r="J5" s="194">
        <v>21</v>
      </c>
      <c r="L5" s="194">
        <v>98</v>
      </c>
      <c r="M5" s="194">
        <v>75</v>
      </c>
      <c r="N5" s="194">
        <v>100</v>
      </c>
      <c r="O5" s="194">
        <v>50</v>
      </c>
      <c r="P5" s="194">
        <v>53</v>
      </c>
      <c r="Q5" s="194">
        <v>75</v>
      </c>
      <c r="R5" s="194">
        <v>96</v>
      </c>
      <c r="S5" s="194">
        <v>56</v>
      </c>
      <c r="T5" s="194">
        <v>93</v>
      </c>
      <c r="U5" s="194">
        <v>45</v>
      </c>
      <c r="V5" s="194">
        <v>92</v>
      </c>
      <c r="X5" s="194">
        <v>61</v>
      </c>
      <c r="Y5" s="194">
        <v>79</v>
      </c>
      <c r="Z5" s="194">
        <v>79</v>
      </c>
      <c r="AA5" s="194">
        <v>79</v>
      </c>
      <c r="AB5" s="194">
        <v>67</v>
      </c>
      <c r="AC5" s="194">
        <v>84</v>
      </c>
      <c r="AD5" s="194">
        <v>72</v>
      </c>
      <c r="AE5" s="194">
        <v>68</v>
      </c>
      <c r="AF5" s="194">
        <v>85</v>
      </c>
      <c r="AG5" s="194">
        <v>79</v>
      </c>
      <c r="AH5" s="194">
        <v>64</v>
      </c>
      <c r="AJ5" s="194">
        <v>7</v>
      </c>
      <c r="AK5" s="194">
        <v>8</v>
      </c>
      <c r="AL5" s="194">
        <v>10</v>
      </c>
      <c r="AM5" s="194">
        <v>6</v>
      </c>
      <c r="AN5" s="194">
        <v>10</v>
      </c>
      <c r="AO5" s="194">
        <v>7</v>
      </c>
      <c r="AP5" s="194">
        <v>10</v>
      </c>
      <c r="AQ5" s="194">
        <v>7</v>
      </c>
      <c r="AR5" s="194">
        <v>10</v>
      </c>
      <c r="AS5" s="194">
        <v>8</v>
      </c>
      <c r="AT5" s="194">
        <v>9</v>
      </c>
      <c r="AU5" s="220"/>
    </row>
    <row r="6" spans="1:47" ht="12.75">
      <c r="A6" s="194">
        <v>5</v>
      </c>
      <c r="B6" s="194">
        <v>4</v>
      </c>
      <c r="C6" s="194">
        <v>2</v>
      </c>
      <c r="D6" s="194">
        <v>3</v>
      </c>
      <c r="G6" s="194">
        <v>19</v>
      </c>
      <c r="H6" s="194">
        <v>2</v>
      </c>
      <c r="I6" s="194">
        <v>10</v>
      </c>
      <c r="J6" s="194">
        <v>22</v>
      </c>
      <c r="L6" s="194">
        <v>49</v>
      </c>
      <c r="M6" s="194">
        <v>74</v>
      </c>
      <c r="N6" s="194">
        <v>56</v>
      </c>
      <c r="O6" s="194">
        <v>57</v>
      </c>
      <c r="P6" s="194">
        <v>94</v>
      </c>
      <c r="Q6" s="194">
        <v>77</v>
      </c>
      <c r="R6" s="194">
        <v>88</v>
      </c>
      <c r="S6" s="194">
        <v>84</v>
      </c>
      <c r="T6" s="194">
        <v>91</v>
      </c>
      <c r="U6" s="194">
        <v>66</v>
      </c>
      <c r="V6" s="194">
        <v>93</v>
      </c>
      <c r="X6" s="194">
        <v>67</v>
      </c>
      <c r="Y6" s="194">
        <v>92</v>
      </c>
      <c r="Z6" s="194">
        <v>100</v>
      </c>
      <c r="AA6" s="194">
        <v>67</v>
      </c>
      <c r="AB6" s="194">
        <v>95</v>
      </c>
      <c r="AC6" s="194">
        <v>71</v>
      </c>
      <c r="AD6" s="194">
        <v>76</v>
      </c>
      <c r="AE6" s="194">
        <v>95</v>
      </c>
      <c r="AF6" s="194">
        <v>87</v>
      </c>
      <c r="AG6" s="194">
        <v>80</v>
      </c>
      <c r="AH6" s="194">
        <v>76</v>
      </c>
      <c r="AJ6" s="194">
        <v>9</v>
      </c>
      <c r="AK6" s="194">
        <v>6</v>
      </c>
      <c r="AL6" s="194">
        <v>10</v>
      </c>
      <c r="AM6" s="194">
        <v>6</v>
      </c>
      <c r="AN6" s="194">
        <v>9</v>
      </c>
      <c r="AO6" s="194">
        <v>10</v>
      </c>
      <c r="AP6" s="194">
        <v>10</v>
      </c>
      <c r="AQ6" s="194">
        <v>7</v>
      </c>
      <c r="AR6" s="194">
        <v>6</v>
      </c>
      <c r="AS6" s="194">
        <v>10</v>
      </c>
      <c r="AT6" s="194">
        <v>8</v>
      </c>
      <c r="AU6" s="220"/>
    </row>
    <row r="7" spans="1:47" ht="12.75">
      <c r="A7" s="194">
        <v>6</v>
      </c>
      <c r="B7" s="194">
        <v>5</v>
      </c>
      <c r="C7" s="194">
        <v>3</v>
      </c>
      <c r="D7" s="194">
        <v>4</v>
      </c>
      <c r="G7" s="194">
        <v>21</v>
      </c>
      <c r="H7" s="194">
        <v>9</v>
      </c>
      <c r="I7" s="194">
        <v>15</v>
      </c>
      <c r="J7" s="194">
        <v>25</v>
      </c>
      <c r="L7" s="194">
        <v>50</v>
      </c>
      <c r="M7" s="194">
        <v>50</v>
      </c>
      <c r="N7" s="194">
        <v>41</v>
      </c>
      <c r="O7" s="194">
        <v>78</v>
      </c>
      <c r="P7" s="194">
        <v>71</v>
      </c>
      <c r="Q7" s="194">
        <v>64</v>
      </c>
      <c r="R7" s="194">
        <v>82</v>
      </c>
      <c r="S7" s="194">
        <v>72</v>
      </c>
      <c r="T7" s="194">
        <v>95</v>
      </c>
      <c r="U7" s="194">
        <v>41</v>
      </c>
      <c r="V7" s="194">
        <v>47</v>
      </c>
      <c r="X7" s="194">
        <v>91</v>
      </c>
      <c r="Y7" s="194">
        <v>88</v>
      </c>
      <c r="Z7" s="194">
        <v>81</v>
      </c>
      <c r="AA7" s="194">
        <v>61</v>
      </c>
      <c r="AB7" s="194">
        <v>92</v>
      </c>
      <c r="AC7" s="194">
        <v>65</v>
      </c>
      <c r="AD7" s="194">
        <v>66</v>
      </c>
      <c r="AE7" s="194">
        <v>81</v>
      </c>
      <c r="AF7" s="194">
        <v>68</v>
      </c>
      <c r="AG7" s="194">
        <v>88</v>
      </c>
      <c r="AH7" s="194">
        <v>65</v>
      </c>
      <c r="AJ7" s="194">
        <v>7</v>
      </c>
      <c r="AK7" s="194">
        <v>8</v>
      </c>
      <c r="AL7" s="194">
        <v>10</v>
      </c>
      <c r="AM7" s="194">
        <v>10</v>
      </c>
      <c r="AN7" s="194">
        <v>10</v>
      </c>
      <c r="AO7" s="194">
        <v>8</v>
      </c>
      <c r="AP7" s="194">
        <v>9</v>
      </c>
      <c r="AQ7" s="194">
        <v>10</v>
      </c>
      <c r="AR7" s="194">
        <v>10</v>
      </c>
      <c r="AS7" s="194">
        <v>10</v>
      </c>
      <c r="AT7" s="194">
        <v>7</v>
      </c>
      <c r="AU7" s="220"/>
    </row>
    <row r="8" spans="1:47" ht="12.75">
      <c r="A8" s="194">
        <v>6</v>
      </c>
      <c r="B8" s="194">
        <v>6</v>
      </c>
      <c r="C8" s="194">
        <v>6</v>
      </c>
      <c r="D8" s="194">
        <v>6</v>
      </c>
      <c r="G8" s="194">
        <v>32</v>
      </c>
      <c r="H8" s="194">
        <v>13</v>
      </c>
      <c r="I8" s="194">
        <v>18</v>
      </c>
      <c r="J8" s="194">
        <v>30</v>
      </c>
      <c r="L8" s="194">
        <v>49</v>
      </c>
      <c r="M8" s="194">
        <v>69</v>
      </c>
      <c r="N8" s="194">
        <v>74</v>
      </c>
      <c r="O8" s="194">
        <v>80</v>
      </c>
      <c r="P8" s="194">
        <v>80</v>
      </c>
      <c r="Q8" s="194">
        <v>64</v>
      </c>
      <c r="R8" s="194">
        <v>57</v>
      </c>
      <c r="S8" s="194">
        <v>92</v>
      </c>
      <c r="T8" s="194">
        <v>85</v>
      </c>
      <c r="U8" s="194">
        <v>59</v>
      </c>
      <c r="V8" s="194">
        <v>44</v>
      </c>
      <c r="X8" s="194">
        <v>64</v>
      </c>
      <c r="Y8" s="194">
        <v>93</v>
      </c>
      <c r="Z8" s="194">
        <v>64</v>
      </c>
      <c r="AA8" s="194">
        <v>69</v>
      </c>
      <c r="AB8" s="194">
        <v>65</v>
      </c>
      <c r="AC8" s="194">
        <v>93</v>
      </c>
      <c r="AD8" s="194">
        <v>65</v>
      </c>
      <c r="AE8" s="194">
        <v>89</v>
      </c>
      <c r="AF8" s="194">
        <v>70</v>
      </c>
      <c r="AG8" s="194">
        <v>66</v>
      </c>
      <c r="AH8" s="194">
        <v>76</v>
      </c>
      <c r="AJ8" s="194">
        <v>8</v>
      </c>
      <c r="AK8" s="194">
        <v>7</v>
      </c>
      <c r="AL8" s="194">
        <v>10</v>
      </c>
      <c r="AM8" s="194">
        <v>8</v>
      </c>
      <c r="AN8" s="194">
        <v>8</v>
      </c>
      <c r="AO8" s="194">
        <v>8</v>
      </c>
      <c r="AP8" s="194">
        <v>8</v>
      </c>
      <c r="AQ8" s="194">
        <v>8</v>
      </c>
      <c r="AR8" s="194">
        <v>7</v>
      </c>
      <c r="AS8" s="194">
        <v>9</v>
      </c>
      <c r="AT8" s="194">
        <v>8</v>
      </c>
      <c r="AU8" s="220"/>
    </row>
    <row r="9" spans="1:47" ht="12.75">
      <c r="A9" s="194">
        <v>7</v>
      </c>
      <c r="B9" s="194">
        <v>7</v>
      </c>
      <c r="C9" s="194">
        <v>6</v>
      </c>
      <c r="D9" s="194">
        <v>7</v>
      </c>
      <c r="G9" s="194">
        <v>35</v>
      </c>
      <c r="H9" s="194">
        <v>14</v>
      </c>
      <c r="I9" s="194">
        <v>22</v>
      </c>
      <c r="J9" s="194">
        <v>31</v>
      </c>
      <c r="L9" s="194">
        <v>51</v>
      </c>
      <c r="M9" s="194">
        <v>70</v>
      </c>
      <c r="N9" s="194">
        <v>40</v>
      </c>
      <c r="O9" s="194">
        <v>95</v>
      </c>
      <c r="P9" s="194">
        <v>82</v>
      </c>
      <c r="Q9" s="194">
        <v>63</v>
      </c>
      <c r="R9" s="194">
        <v>61</v>
      </c>
      <c r="S9" s="194">
        <v>73</v>
      </c>
      <c r="T9" s="194">
        <v>43</v>
      </c>
      <c r="U9" s="194">
        <v>58</v>
      </c>
      <c r="V9" s="194">
        <v>53</v>
      </c>
      <c r="X9" s="194">
        <v>71</v>
      </c>
      <c r="Y9" s="194">
        <v>74</v>
      </c>
      <c r="Z9" s="194">
        <v>88</v>
      </c>
      <c r="AA9" s="194">
        <v>78</v>
      </c>
      <c r="AB9" s="194">
        <v>75</v>
      </c>
      <c r="AC9" s="194">
        <v>89</v>
      </c>
      <c r="AD9" s="194">
        <v>92</v>
      </c>
      <c r="AE9" s="194">
        <v>86</v>
      </c>
      <c r="AF9" s="194">
        <v>96</v>
      </c>
      <c r="AG9" s="194">
        <v>85</v>
      </c>
      <c r="AH9" s="194">
        <v>94</v>
      </c>
      <c r="AJ9" s="194">
        <v>6</v>
      </c>
      <c r="AK9" s="194">
        <v>10</v>
      </c>
      <c r="AL9" s="194">
        <v>9</v>
      </c>
      <c r="AM9" s="194">
        <v>7</v>
      </c>
      <c r="AN9" s="194">
        <v>6</v>
      </c>
      <c r="AO9" s="194">
        <v>10</v>
      </c>
      <c r="AP9" s="194">
        <v>6</v>
      </c>
      <c r="AQ9" s="194">
        <v>8</v>
      </c>
      <c r="AR9" s="194">
        <v>9</v>
      </c>
      <c r="AS9" s="194">
        <v>8</v>
      </c>
      <c r="AT9" s="194">
        <v>8</v>
      </c>
      <c r="AU9" s="220"/>
    </row>
    <row r="10" spans="1:47" ht="12.75">
      <c r="A10" s="194">
        <v>8</v>
      </c>
      <c r="B10" s="194">
        <v>8</v>
      </c>
      <c r="C10" s="194">
        <v>7</v>
      </c>
      <c r="D10" s="194">
        <v>7</v>
      </c>
      <c r="G10" s="194">
        <v>35</v>
      </c>
      <c r="H10" s="194">
        <v>17</v>
      </c>
      <c r="I10" s="194">
        <v>23</v>
      </c>
      <c r="J10" s="194">
        <v>31</v>
      </c>
      <c r="L10" s="194">
        <v>92</v>
      </c>
      <c r="M10" s="194">
        <v>82</v>
      </c>
      <c r="N10" s="194">
        <v>85</v>
      </c>
      <c r="O10" s="194">
        <v>71</v>
      </c>
      <c r="P10" s="194">
        <v>57</v>
      </c>
      <c r="Q10" s="194">
        <v>55</v>
      </c>
      <c r="R10" s="194">
        <v>82</v>
      </c>
      <c r="S10" s="194">
        <v>74</v>
      </c>
      <c r="T10" s="194">
        <v>55</v>
      </c>
      <c r="U10" s="194">
        <v>97</v>
      </c>
      <c r="V10" s="194">
        <v>70</v>
      </c>
      <c r="X10" s="194">
        <v>76</v>
      </c>
      <c r="Y10" s="194">
        <v>86</v>
      </c>
      <c r="Z10" s="194">
        <v>62</v>
      </c>
      <c r="AA10" s="194">
        <v>99</v>
      </c>
      <c r="AB10" s="194">
        <v>92</v>
      </c>
      <c r="AC10" s="194">
        <v>70</v>
      </c>
      <c r="AD10" s="194">
        <v>96</v>
      </c>
      <c r="AE10" s="194">
        <v>95</v>
      </c>
      <c r="AF10" s="194">
        <v>79</v>
      </c>
      <c r="AG10" s="194">
        <v>81</v>
      </c>
      <c r="AH10" s="194">
        <v>68</v>
      </c>
      <c r="AJ10" s="194">
        <v>9</v>
      </c>
      <c r="AK10" s="194">
        <v>10</v>
      </c>
      <c r="AL10" s="194">
        <v>6</v>
      </c>
      <c r="AM10" s="194">
        <v>9</v>
      </c>
      <c r="AN10" s="194">
        <v>10</v>
      </c>
      <c r="AO10" s="194">
        <v>6</v>
      </c>
      <c r="AP10" s="194">
        <v>9</v>
      </c>
      <c r="AQ10" s="194">
        <v>6</v>
      </c>
      <c r="AR10" s="194">
        <v>7</v>
      </c>
      <c r="AS10" s="194">
        <v>6</v>
      </c>
      <c r="AT10" s="194">
        <v>10</v>
      </c>
      <c r="AU10" s="220"/>
    </row>
    <row r="11" spans="1:47" ht="12.75">
      <c r="A11" s="194">
        <v>9</v>
      </c>
      <c r="B11" s="194">
        <v>8</v>
      </c>
      <c r="C11" s="194">
        <v>10</v>
      </c>
      <c r="D11" s="194">
        <v>8</v>
      </c>
      <c r="G11" s="194">
        <v>37</v>
      </c>
      <c r="H11" s="194">
        <v>18</v>
      </c>
      <c r="I11" s="194">
        <v>27</v>
      </c>
      <c r="J11" s="194">
        <v>33</v>
      </c>
      <c r="L11" s="194">
        <v>81</v>
      </c>
      <c r="M11" s="194">
        <v>44</v>
      </c>
      <c r="N11" s="194">
        <v>41</v>
      </c>
      <c r="O11" s="194">
        <v>63</v>
      </c>
      <c r="P11" s="194">
        <v>69</v>
      </c>
      <c r="Q11" s="194">
        <v>71</v>
      </c>
      <c r="R11" s="194">
        <v>54</v>
      </c>
      <c r="S11" s="194">
        <v>48</v>
      </c>
      <c r="T11" s="194">
        <v>55</v>
      </c>
      <c r="U11" s="194">
        <v>100</v>
      </c>
      <c r="V11" s="194">
        <v>44</v>
      </c>
      <c r="X11" s="194">
        <v>82</v>
      </c>
      <c r="Y11" s="194">
        <v>76</v>
      </c>
      <c r="Z11" s="194">
        <v>98</v>
      </c>
      <c r="AA11" s="194">
        <v>69</v>
      </c>
      <c r="AB11" s="194">
        <v>76</v>
      </c>
      <c r="AC11" s="194">
        <v>87</v>
      </c>
      <c r="AD11" s="194">
        <v>87</v>
      </c>
      <c r="AE11" s="194">
        <v>93</v>
      </c>
      <c r="AF11" s="194">
        <v>66</v>
      </c>
      <c r="AG11" s="194">
        <v>93</v>
      </c>
      <c r="AH11" s="194">
        <v>61</v>
      </c>
      <c r="AJ11" s="194">
        <v>8</v>
      </c>
      <c r="AK11" s="194">
        <v>10</v>
      </c>
      <c r="AL11" s="194">
        <v>10</v>
      </c>
      <c r="AM11" s="194">
        <v>6</v>
      </c>
      <c r="AN11" s="194">
        <v>8</v>
      </c>
      <c r="AO11" s="194">
        <v>7</v>
      </c>
      <c r="AP11" s="194">
        <v>10</v>
      </c>
      <c r="AQ11" s="194">
        <v>6</v>
      </c>
      <c r="AR11" s="194">
        <v>8</v>
      </c>
      <c r="AS11" s="194">
        <v>10</v>
      </c>
      <c r="AT11" s="194">
        <v>9</v>
      </c>
      <c r="AU11" s="220"/>
    </row>
    <row r="12" spans="1:47" ht="12.75">
      <c r="A12" s="194">
        <v>9</v>
      </c>
      <c r="B12" s="194">
        <v>9</v>
      </c>
      <c r="C12" s="194">
        <v>10</v>
      </c>
      <c r="D12" s="194">
        <v>9</v>
      </c>
      <c r="G12" s="194">
        <v>40</v>
      </c>
      <c r="H12" s="194">
        <v>22</v>
      </c>
      <c r="I12" s="194">
        <v>29</v>
      </c>
      <c r="J12" s="194">
        <v>33</v>
      </c>
      <c r="L12" s="194">
        <v>69</v>
      </c>
      <c r="M12" s="194">
        <v>58</v>
      </c>
      <c r="N12" s="194">
        <v>74</v>
      </c>
      <c r="O12" s="194">
        <v>53</v>
      </c>
      <c r="P12" s="194">
        <v>76</v>
      </c>
      <c r="Q12" s="194">
        <v>97</v>
      </c>
      <c r="R12" s="194">
        <v>77</v>
      </c>
      <c r="S12" s="194">
        <v>85</v>
      </c>
      <c r="T12" s="194">
        <v>95</v>
      </c>
      <c r="U12" s="194">
        <v>41</v>
      </c>
      <c r="V12" s="194">
        <v>79</v>
      </c>
      <c r="X12" s="194">
        <v>96</v>
      </c>
      <c r="Y12" s="194">
        <v>74</v>
      </c>
      <c r="Z12" s="194">
        <v>94</v>
      </c>
      <c r="AA12" s="194">
        <v>82</v>
      </c>
      <c r="AB12" s="194">
        <v>76</v>
      </c>
      <c r="AC12" s="194">
        <v>69</v>
      </c>
      <c r="AD12" s="194">
        <v>80</v>
      </c>
      <c r="AE12" s="194">
        <v>66</v>
      </c>
      <c r="AF12" s="194">
        <v>67</v>
      </c>
      <c r="AG12" s="194">
        <v>67</v>
      </c>
      <c r="AH12" s="194">
        <v>80</v>
      </c>
      <c r="AJ12" s="194">
        <v>7</v>
      </c>
      <c r="AK12" s="194">
        <v>10</v>
      </c>
      <c r="AL12" s="194">
        <v>10</v>
      </c>
      <c r="AM12" s="194">
        <v>8</v>
      </c>
      <c r="AN12" s="194">
        <v>9</v>
      </c>
      <c r="AO12" s="194">
        <v>6</v>
      </c>
      <c r="AP12" s="194">
        <v>9</v>
      </c>
      <c r="AQ12" s="194">
        <v>9</v>
      </c>
      <c r="AR12" s="194">
        <v>8</v>
      </c>
      <c r="AS12" s="194">
        <v>9</v>
      </c>
      <c r="AT12" s="194">
        <v>8</v>
      </c>
      <c r="AU12" s="220"/>
    </row>
    <row r="13" spans="1:47" ht="12.75">
      <c r="A13" s="194">
        <v>9</v>
      </c>
      <c r="B13" s="194">
        <v>9</v>
      </c>
      <c r="C13" s="194">
        <v>10</v>
      </c>
      <c r="D13" s="194">
        <v>10</v>
      </c>
      <c r="G13" s="194">
        <v>43</v>
      </c>
      <c r="H13" s="194">
        <v>29</v>
      </c>
      <c r="I13" s="194">
        <v>29</v>
      </c>
      <c r="J13" s="194">
        <v>41</v>
      </c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</row>
    <row r="14" spans="1:10" ht="13.5" thickBot="1">
      <c r="A14" s="194">
        <v>10</v>
      </c>
      <c r="B14" s="194">
        <v>9</v>
      </c>
      <c r="C14" s="194">
        <v>12</v>
      </c>
      <c r="D14" s="194">
        <v>10</v>
      </c>
      <c r="G14" s="194">
        <v>46</v>
      </c>
      <c r="H14" s="194">
        <v>36</v>
      </c>
      <c r="I14" s="194">
        <v>34</v>
      </c>
      <c r="J14" s="194">
        <v>43</v>
      </c>
    </row>
    <row r="15" spans="1:40" ht="12.75">
      <c r="A15" s="194">
        <v>11</v>
      </c>
      <c r="B15" s="194">
        <v>10</v>
      </c>
      <c r="C15" s="194">
        <v>12</v>
      </c>
      <c r="D15" s="194">
        <v>12</v>
      </c>
      <c r="G15" s="194">
        <v>47</v>
      </c>
      <c r="H15" s="194">
        <v>39</v>
      </c>
      <c r="I15" s="194">
        <v>41</v>
      </c>
      <c r="J15" s="194">
        <v>47</v>
      </c>
      <c r="Y15" s="191" t="s">
        <v>247</v>
      </c>
      <c r="AA15" s="273" t="s">
        <v>281</v>
      </c>
      <c r="AB15" s="273" t="s">
        <v>283</v>
      </c>
      <c r="AK15" s="191" t="s">
        <v>247</v>
      </c>
      <c r="AM15" s="273" t="s">
        <v>281</v>
      </c>
      <c r="AN15" s="273" t="s">
        <v>283</v>
      </c>
    </row>
    <row r="16" spans="1:40" ht="12.75">
      <c r="A16" s="194">
        <v>11</v>
      </c>
      <c r="B16" s="194">
        <v>12</v>
      </c>
      <c r="C16" s="194">
        <v>12</v>
      </c>
      <c r="D16" s="194">
        <v>12</v>
      </c>
      <c r="G16" s="194">
        <v>50</v>
      </c>
      <c r="H16" s="194">
        <v>47</v>
      </c>
      <c r="I16" s="194">
        <v>50</v>
      </c>
      <c r="J16" s="194">
        <v>48</v>
      </c>
      <c r="L16" s="191" t="s">
        <v>211</v>
      </c>
      <c r="M16" s="191" t="s">
        <v>211</v>
      </c>
      <c r="N16" s="191" t="s">
        <v>211</v>
      </c>
      <c r="O16" s="191" t="s">
        <v>211</v>
      </c>
      <c r="P16" s="191" t="s">
        <v>211</v>
      </c>
      <c r="Q16" s="191" t="s">
        <v>211</v>
      </c>
      <c r="R16" s="191" t="s">
        <v>211</v>
      </c>
      <c r="S16" s="191" t="s">
        <v>211</v>
      </c>
      <c r="T16" s="191" t="s">
        <v>211</v>
      </c>
      <c r="U16" s="191" t="s">
        <v>211</v>
      </c>
      <c r="V16" s="191" t="s">
        <v>211</v>
      </c>
      <c r="Y16">
        <v>70</v>
      </c>
      <c r="AA16" s="274">
        <v>70</v>
      </c>
      <c r="AB16" s="271">
        <v>39</v>
      </c>
      <c r="AK16">
        <v>7</v>
      </c>
      <c r="AM16" s="274">
        <v>7</v>
      </c>
      <c r="AN16" s="271">
        <v>44</v>
      </c>
    </row>
    <row r="17" spans="1:40" ht="12.75">
      <c r="A17" s="198">
        <f>AVERAGE(A2:A16)</f>
        <v>6.533333333333333</v>
      </c>
      <c r="B17" s="198">
        <f>AVERAGE(B2:B16)</f>
        <v>6.4</v>
      </c>
      <c r="C17" s="198">
        <f>AVERAGE(C2:C16)</f>
        <v>6.2</v>
      </c>
      <c r="D17" s="198">
        <f>AVERAGE(D2:D16)</f>
        <v>6.133333333333334</v>
      </c>
      <c r="E17" s="191" t="s">
        <v>200</v>
      </c>
      <c r="G17" s="198">
        <f>AVERAGE(G2:G16)</f>
        <v>31</v>
      </c>
      <c r="H17" s="198">
        <f>AVERAGE(H2:H16)</f>
        <v>16.866666666666667</v>
      </c>
      <c r="I17" s="198">
        <f>AVERAGE(I2:I16)</f>
        <v>21.266666666666666</v>
      </c>
      <c r="J17" s="198">
        <f>AVERAGE(J2:J16)</f>
        <v>28.266666666666666</v>
      </c>
      <c r="L17" s="198">
        <f>AVERAGE(L2:L12)</f>
        <v>67.81818181818181</v>
      </c>
      <c r="M17" s="198">
        <f>AVERAGE(M2:M12)</f>
        <v>67.63636363636364</v>
      </c>
      <c r="N17" s="198">
        <f aca="true" t="shared" si="0" ref="N17:V17">AVERAGE(N2:N12)</f>
        <v>67.9090909090909</v>
      </c>
      <c r="O17" s="198">
        <f t="shared" si="0"/>
        <v>66.45454545454545</v>
      </c>
      <c r="P17" s="198">
        <f t="shared" si="0"/>
        <v>72.9090909090909</v>
      </c>
      <c r="Q17" s="198">
        <f t="shared" si="0"/>
        <v>69.18181818181819</v>
      </c>
      <c r="R17" s="198">
        <f t="shared" si="0"/>
        <v>73.18181818181819</v>
      </c>
      <c r="S17" s="198">
        <f t="shared" si="0"/>
        <v>72.18181818181819</v>
      </c>
      <c r="T17" s="198">
        <f t="shared" si="0"/>
        <v>70.63636363636364</v>
      </c>
      <c r="U17" s="198">
        <f t="shared" si="0"/>
        <v>67.18181818181819</v>
      </c>
      <c r="V17" s="198">
        <f t="shared" si="0"/>
        <v>63.18181818181818</v>
      </c>
      <c r="Y17">
        <v>80</v>
      </c>
      <c r="AA17" s="274">
        <v>80</v>
      </c>
      <c r="AB17" s="271">
        <v>32</v>
      </c>
      <c r="AK17">
        <v>8</v>
      </c>
      <c r="AM17" s="274">
        <v>8</v>
      </c>
      <c r="AN17" s="271">
        <v>27</v>
      </c>
    </row>
    <row r="18" spans="1:40" ht="12.75">
      <c r="A18" s="198">
        <f>STDEV(A2:A16)</f>
        <v>3.461351236287988</v>
      </c>
      <c r="B18" s="198">
        <f>STDEV(B2:B16)</f>
        <v>3.3123146848433005</v>
      </c>
      <c r="C18" s="198">
        <f>STDEV(C2:C16)</f>
        <v>4.570089089472358</v>
      </c>
      <c r="D18" s="198">
        <f>STDEV(D2:D16)</f>
        <v>4.120795115138871</v>
      </c>
      <c r="E18" s="191" t="s">
        <v>0</v>
      </c>
      <c r="G18" s="198">
        <f>STDEV(G2:G16)</f>
        <v>13.158375931050806</v>
      </c>
      <c r="H18" s="198">
        <f>STDEV(H2:H16)</f>
        <v>15.023156728705127</v>
      </c>
      <c r="I18" s="198">
        <f>STDEV(I2:I16)</f>
        <v>13.981961167705984</v>
      </c>
      <c r="J18" s="198">
        <f>STDEV(J2:J16)</f>
        <v>14.022770597784705</v>
      </c>
      <c r="L18" s="198">
        <f>STDEV(L2:L12)</f>
        <v>18.060001006745157</v>
      </c>
      <c r="M18" s="198">
        <f>STDEV(M2:M12)</f>
        <v>17.13635157945079</v>
      </c>
      <c r="N18" s="198">
        <f aca="true" t="shared" si="1" ref="N18:V18">STDEV(N2:N12)</f>
        <v>23.136354706195807</v>
      </c>
      <c r="O18" s="198">
        <f t="shared" si="1"/>
        <v>14.861787485788081</v>
      </c>
      <c r="P18" s="198">
        <f t="shared" si="1"/>
        <v>11.597021561198755</v>
      </c>
      <c r="Q18" s="198">
        <f t="shared" si="1"/>
        <v>14.938662469031023</v>
      </c>
      <c r="R18" s="198">
        <f t="shared" si="1"/>
        <v>14.634330745327443</v>
      </c>
      <c r="S18" s="198">
        <f t="shared" si="1"/>
        <v>14.517700794672551</v>
      </c>
      <c r="T18" s="198">
        <f t="shared" si="1"/>
        <v>20.814767484998374</v>
      </c>
      <c r="U18" s="198">
        <f t="shared" si="1"/>
        <v>20.83179388251612</v>
      </c>
      <c r="V18" s="198">
        <f t="shared" si="1"/>
        <v>18.914640793936215</v>
      </c>
      <c r="Y18">
        <v>90</v>
      </c>
      <c r="AA18" s="274">
        <v>90</v>
      </c>
      <c r="AB18" s="271">
        <v>24</v>
      </c>
      <c r="AK18">
        <v>9</v>
      </c>
      <c r="AM18" s="274">
        <v>9</v>
      </c>
      <c r="AN18" s="271">
        <v>20</v>
      </c>
    </row>
    <row r="19" spans="5:40" ht="12.75">
      <c r="E19" s="191" t="s">
        <v>1</v>
      </c>
      <c r="Y19">
        <v>100</v>
      </c>
      <c r="AA19" s="274">
        <v>100</v>
      </c>
      <c r="AB19" s="271">
        <v>26</v>
      </c>
      <c r="AK19">
        <v>10</v>
      </c>
      <c r="AM19" s="274">
        <v>10</v>
      </c>
      <c r="AN19" s="271">
        <v>30</v>
      </c>
    </row>
    <row r="20" spans="12:40" ht="13.5" thickBot="1">
      <c r="L20" s="191" t="s">
        <v>210</v>
      </c>
      <c r="M20" s="191" t="s">
        <v>209</v>
      </c>
      <c r="N20" s="191" t="s">
        <v>0</v>
      </c>
      <c r="O20">
        <f>AVERAGE(L2:V12)</f>
        <v>68.93388429752066</v>
      </c>
      <c r="P20" s="191" t="s">
        <v>212</v>
      </c>
      <c r="Q20">
        <f>STDEV(L2:V12)</f>
        <v>17.045397979704134</v>
      </c>
      <c r="AA20" s="272" t="s">
        <v>282</v>
      </c>
      <c r="AB20" s="272">
        <v>0</v>
      </c>
      <c r="AM20" s="272" t="s">
        <v>282</v>
      </c>
      <c r="AN20" s="272">
        <v>0</v>
      </c>
    </row>
    <row r="23" ht="12.75">
      <c r="M23" s="191" t="s">
        <v>213</v>
      </c>
    </row>
    <row r="24" ht="12.75">
      <c r="L24" s="191" t="s">
        <v>214</v>
      </c>
    </row>
    <row r="25" ht="12.75">
      <c r="L25" s="191" t="s">
        <v>215</v>
      </c>
    </row>
    <row r="27" spans="15:17" ht="12.75">
      <c r="O27" s="191" t="s">
        <v>247</v>
      </c>
      <c r="Q27" s="191" t="s">
        <v>247</v>
      </c>
    </row>
    <row r="28" spans="15:17" ht="12.75">
      <c r="O28">
        <v>50</v>
      </c>
      <c r="Q28">
        <v>60</v>
      </c>
    </row>
    <row r="29" spans="15:17" ht="12.75">
      <c r="O29">
        <v>60</v>
      </c>
      <c r="Q29">
        <v>70</v>
      </c>
    </row>
    <row r="30" spans="15:17" ht="12.75">
      <c r="O30">
        <v>70</v>
      </c>
      <c r="Q30">
        <v>80</v>
      </c>
    </row>
    <row r="31" spans="15:17" ht="12.75">
      <c r="O31">
        <v>80</v>
      </c>
      <c r="Q31">
        <v>90</v>
      </c>
    </row>
    <row r="32" ht="12.75">
      <c r="O32">
        <v>90</v>
      </c>
    </row>
    <row r="33" ht="12.75">
      <c r="O33">
        <v>100</v>
      </c>
    </row>
    <row r="35" ht="13.5" thickBot="1"/>
    <row r="36" spans="13:17" ht="12.75">
      <c r="M36" s="273" t="s">
        <v>281</v>
      </c>
      <c r="N36" s="273" t="s">
        <v>283</v>
      </c>
      <c r="P36" s="273" t="s">
        <v>281</v>
      </c>
      <c r="Q36" s="273" t="s">
        <v>283</v>
      </c>
    </row>
    <row r="37" spans="12:17" ht="12.75">
      <c r="L37" s="191"/>
      <c r="M37" s="274">
        <v>50</v>
      </c>
      <c r="N37" s="271">
        <v>22</v>
      </c>
      <c r="P37" s="274">
        <v>60</v>
      </c>
      <c r="Q37" s="271">
        <v>45</v>
      </c>
    </row>
    <row r="38" spans="12:17" ht="12.75">
      <c r="L38" s="191"/>
      <c r="M38" s="274">
        <v>60</v>
      </c>
      <c r="N38" s="271">
        <v>23</v>
      </c>
      <c r="P38" s="274">
        <v>70</v>
      </c>
      <c r="Q38" s="271">
        <v>18</v>
      </c>
    </row>
    <row r="39" spans="13:17" ht="12.75">
      <c r="M39" s="274">
        <v>70</v>
      </c>
      <c r="N39" s="271">
        <v>18</v>
      </c>
      <c r="P39" s="274">
        <v>80</v>
      </c>
      <c r="Q39" s="271">
        <v>23</v>
      </c>
    </row>
    <row r="40" spans="13:17" ht="12.75">
      <c r="M40" s="274">
        <v>80</v>
      </c>
      <c r="N40" s="271">
        <v>23</v>
      </c>
      <c r="P40" s="274">
        <v>90</v>
      </c>
      <c r="Q40" s="271">
        <v>16</v>
      </c>
    </row>
    <row r="41" spans="13:17" ht="13.5" thickBot="1">
      <c r="M41" s="274">
        <v>90</v>
      </c>
      <c r="N41" s="271">
        <v>16</v>
      </c>
      <c r="P41" s="272" t="s">
        <v>282</v>
      </c>
      <c r="Q41" s="272">
        <v>19</v>
      </c>
    </row>
    <row r="42" spans="13:14" ht="12.75">
      <c r="M42" s="274">
        <v>100</v>
      </c>
      <c r="N42" s="271">
        <v>19</v>
      </c>
    </row>
    <row r="43" spans="13:14" ht="13.5" thickBot="1">
      <c r="M43" s="272" t="s">
        <v>282</v>
      </c>
      <c r="N43" s="27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Q35" sqref="Q35"/>
    </sheetView>
  </sheetViews>
  <sheetFormatPr defaultColWidth="9.140625" defaultRowHeight="12.75"/>
  <cols>
    <col min="1" max="1" width="9.140625" style="28" customWidth="1"/>
    <col min="2" max="2" width="39.421875" style="28" customWidth="1"/>
    <col min="3" max="3" width="8.57421875" style="28" customWidth="1"/>
    <col min="4" max="4" width="9.140625" style="28" customWidth="1"/>
    <col min="5" max="5" width="1.28515625" style="28" customWidth="1"/>
    <col min="6" max="7" width="9.140625" style="28" customWidth="1"/>
    <col min="8" max="8" width="2.00390625" style="28" customWidth="1"/>
    <col min="9" max="9" width="15.28125" style="28" customWidth="1"/>
    <col min="10" max="10" width="3.00390625" style="28" customWidth="1"/>
    <col min="11" max="11" width="16.140625" style="28" customWidth="1"/>
    <col min="12" max="12" width="2.421875" style="28" customWidth="1"/>
    <col min="13" max="13" width="11.421875" style="28" customWidth="1"/>
    <col min="14" max="16384" width="9.140625" style="28" customWidth="1"/>
  </cols>
  <sheetData>
    <row r="1" spans="1:22" ht="12.75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</row>
    <row r="2" spans="1:22" ht="12.75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</row>
    <row r="3" spans="1:22" ht="12.75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</row>
    <row r="4" spans="1:22" ht="12.75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</row>
    <row r="5" spans="1:22" ht="12.75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</row>
    <row r="6" spans="1:22" ht="12.75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</row>
    <row r="7" spans="1:22" ht="12.75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</row>
    <row r="8" spans="1:22" ht="12.75">
      <c r="A8" s="276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</row>
    <row r="9" spans="1:22" ht="12.75">
      <c r="A9" s="276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</row>
    <row r="10" spans="1:22" ht="12.75">
      <c r="A10" s="276"/>
      <c r="B10" s="276"/>
      <c r="C10" s="276"/>
      <c r="D10" s="276"/>
      <c r="E10" s="276"/>
      <c r="F10" s="276"/>
      <c r="G10" s="276"/>
      <c r="H10" s="276"/>
      <c r="I10" s="277"/>
      <c r="J10" s="277"/>
      <c r="K10" s="277"/>
      <c r="L10" s="277"/>
      <c r="M10" s="277"/>
      <c r="N10" s="276"/>
      <c r="O10" s="276"/>
      <c r="P10" s="276"/>
      <c r="Q10" s="276"/>
      <c r="R10" s="276"/>
      <c r="S10" s="276"/>
      <c r="T10" s="276"/>
      <c r="U10" s="276"/>
      <c r="V10" s="276"/>
    </row>
    <row r="11" spans="1:22" ht="12.75">
      <c r="A11" s="276"/>
      <c r="B11" s="276"/>
      <c r="C11" s="276" t="s">
        <v>341</v>
      </c>
      <c r="D11" s="276" t="s">
        <v>342</v>
      </c>
      <c r="F11" s="276"/>
      <c r="G11" s="276"/>
      <c r="H11" s="276"/>
      <c r="I11" s="366" t="s">
        <v>351</v>
      </c>
      <c r="J11" s="277"/>
      <c r="K11" s="277" t="s">
        <v>352</v>
      </c>
      <c r="L11" s="277"/>
      <c r="M11" s="277"/>
      <c r="N11" s="276"/>
      <c r="O11" s="276"/>
      <c r="P11" s="276"/>
      <c r="Q11" s="276"/>
      <c r="R11" s="276"/>
      <c r="S11" s="276"/>
      <c r="T11" s="276"/>
      <c r="U11" s="276"/>
      <c r="V11" s="276"/>
    </row>
    <row r="12" spans="1:22" ht="16.5" thickBot="1">
      <c r="A12" s="276"/>
      <c r="B12" s="363" t="s">
        <v>343</v>
      </c>
      <c r="C12" s="364">
        <f>0.6*60</f>
        <v>36</v>
      </c>
      <c r="D12" s="364">
        <f>0.8*100</f>
        <v>80</v>
      </c>
      <c r="E12" s="365"/>
      <c r="F12" s="276"/>
      <c r="G12" s="276" t="s">
        <v>347</v>
      </c>
      <c r="H12" s="362"/>
      <c r="I12" s="170">
        <f>C14-D14</f>
        <v>-0.22000000000000003</v>
      </c>
      <c r="J12" s="325" t="s">
        <v>350</v>
      </c>
      <c r="K12" s="368">
        <v>0</v>
      </c>
      <c r="L12" s="362"/>
      <c r="M12" s="363" t="s">
        <v>348</v>
      </c>
      <c r="N12" s="369">
        <f>(I12-K12)/I13</f>
        <v>-4.84835606993386</v>
      </c>
      <c r="O12" s="276"/>
      <c r="P12" s="276"/>
      <c r="Q12" s="276"/>
      <c r="R12" s="276"/>
      <c r="S12" s="276"/>
      <c r="T12" s="276"/>
      <c r="U12" s="276"/>
      <c r="V12" s="276"/>
    </row>
    <row r="13" spans="1:22" ht="12.75">
      <c r="A13" s="276"/>
      <c r="B13" s="363" t="s">
        <v>229</v>
      </c>
      <c r="C13" s="364">
        <v>200</v>
      </c>
      <c r="D13" s="364">
        <v>200</v>
      </c>
      <c r="E13" s="365"/>
      <c r="F13" s="276"/>
      <c r="G13" s="276"/>
      <c r="I13" s="370">
        <f>C21</f>
        <v>0.045376205218153706</v>
      </c>
      <c r="K13" s="276" t="s">
        <v>353</v>
      </c>
      <c r="L13" s="276"/>
      <c r="M13" s="276"/>
      <c r="O13" s="276"/>
      <c r="P13" s="276"/>
      <c r="Q13" s="276"/>
      <c r="R13" s="276"/>
      <c r="S13" s="276"/>
      <c r="T13" s="276"/>
      <c r="U13" s="276"/>
      <c r="V13" s="276"/>
    </row>
    <row r="14" spans="1:22" ht="12.75">
      <c r="A14" s="276"/>
      <c r="B14" s="366" t="s">
        <v>355</v>
      </c>
      <c r="C14" s="169">
        <f>C12/C13</f>
        <v>0.18</v>
      </c>
      <c r="D14" s="169">
        <f>D12/D13</f>
        <v>0.4</v>
      </c>
      <c r="E14" s="365"/>
      <c r="F14" s="276"/>
      <c r="G14" s="276"/>
      <c r="H14" s="276"/>
      <c r="I14" s="365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</row>
    <row r="15" spans="1:22" ht="12.75">
      <c r="A15" s="276"/>
      <c r="B15" s="366"/>
      <c r="C15" s="168"/>
      <c r="D15" s="168"/>
      <c r="E15" s="365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</row>
    <row r="16" spans="1:22" ht="12.75">
      <c r="A16" s="276"/>
      <c r="B16" s="276"/>
      <c r="C16" s="276" t="s">
        <v>354</v>
      </c>
      <c r="D16" s="365"/>
      <c r="E16" s="168"/>
      <c r="F16" s="276"/>
      <c r="G16" s="276"/>
      <c r="H16" s="276"/>
      <c r="I16" s="557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</row>
    <row r="17" spans="1:22" ht="12.75">
      <c r="A17" s="276"/>
      <c r="B17" s="363" t="s">
        <v>349</v>
      </c>
      <c r="C17" s="169">
        <f>(C12+D12)/(C13+D13)</f>
        <v>0.29</v>
      </c>
      <c r="D17" s="372" t="s">
        <v>344</v>
      </c>
      <c r="E17" s="276"/>
      <c r="F17" s="276"/>
      <c r="G17" s="276"/>
      <c r="H17" s="276"/>
      <c r="I17" s="557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</row>
    <row r="18" spans="1:22" ht="12.75">
      <c r="A18" s="276"/>
      <c r="C18" s="367"/>
      <c r="D18" s="168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</row>
    <row r="19" spans="1:22" ht="12.75">
      <c r="A19" s="276"/>
      <c r="B19" s="366" t="s">
        <v>356</v>
      </c>
      <c r="C19" s="169">
        <f>1-C17</f>
        <v>0.71</v>
      </c>
      <c r="D19" s="365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</row>
    <row r="20" spans="1:22" ht="12.75">
      <c r="A20" s="276"/>
      <c r="B20" s="366"/>
      <c r="C20" s="371"/>
      <c r="D20" s="365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</row>
    <row r="21" spans="1:22" ht="12.75">
      <c r="A21" s="276"/>
      <c r="B21" s="366" t="s">
        <v>345</v>
      </c>
      <c r="C21" s="169">
        <f>SQRT(C17*C19*(1/C13+1/D13))</f>
        <v>0.045376205218153706</v>
      </c>
      <c r="D21" s="365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</row>
    <row r="22" spans="1:22" ht="12.75">
      <c r="A22" s="276"/>
      <c r="B22" s="366" t="s">
        <v>346</v>
      </c>
      <c r="C22" s="365"/>
      <c r="D22" s="365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</row>
    <row r="23" spans="1:22" ht="12.75">
      <c r="A23" s="276"/>
      <c r="B23" s="276"/>
      <c r="C23" s="365"/>
      <c r="D23" s="365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</row>
    <row r="24" spans="1:22" ht="12.75">
      <c r="A24" s="276"/>
      <c r="B24" s="366" t="s">
        <v>347</v>
      </c>
      <c r="C24" s="169">
        <f>N12</f>
        <v>-4.84835606993386</v>
      </c>
      <c r="D24" s="365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</row>
    <row r="25" spans="1:22" ht="12.75">
      <c r="A25" s="276"/>
      <c r="B25" s="276"/>
      <c r="C25" s="367"/>
      <c r="D25" s="365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</row>
    <row r="26" spans="1:22" ht="12.75">
      <c r="A26" s="276"/>
      <c r="B26" s="363" t="s">
        <v>223</v>
      </c>
      <c r="C26" s="169">
        <f>1-NORMSDIST(ABS(C24))</f>
        <v>6.224441027047334E-07</v>
      </c>
      <c r="D26" s="365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</row>
    <row r="27" spans="1:22" ht="12.75">
      <c r="A27" s="276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</row>
    <row r="28" spans="1:22" ht="12.75">
      <c r="A28" s="276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</row>
    <row r="29" spans="1:22" ht="12.75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</row>
    <row r="30" spans="1:22" ht="12.75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</row>
    <row r="31" spans="1:22" ht="12.75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</row>
    <row r="32" spans="1:22" ht="12.75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</row>
    <row r="33" spans="1:22" ht="12.75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</row>
    <row r="34" spans="1:22" ht="12.75">
      <c r="A34" s="276"/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</row>
    <row r="35" spans="1:22" ht="12.75">
      <c r="A35" s="276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</row>
    <row r="36" spans="1:22" ht="12.75">
      <c r="A36" s="276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</row>
    <row r="37" spans="1:16" ht="12.75">
      <c r="A37" s="276"/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</row>
    <row r="38" spans="1:16" ht="12.75">
      <c r="A38" s="276"/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</row>
    <row r="39" spans="1:16" ht="12.75">
      <c r="A39" s="276"/>
      <c r="B39" s="276"/>
      <c r="C39" s="276"/>
      <c r="D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</row>
    <row r="40" spans="1:16" ht="12.75">
      <c r="A40" s="276"/>
      <c r="B40" s="276"/>
      <c r="C40" s="276"/>
      <c r="D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</row>
    <row r="41" spans="3:16" ht="12.75">
      <c r="C41" s="276"/>
      <c r="D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</row>
    <row r="42" spans="6:16" ht="12.75"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</row>
    <row r="43" spans="6:16" ht="12.75"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</row>
  </sheetData>
  <sheetProtection/>
  <mergeCells count="1">
    <mergeCell ref="I16:I1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54"/>
  <sheetViews>
    <sheetView zoomScalePageLayoutView="0" workbookViewId="0" topLeftCell="A19">
      <selection activeCell="S21" sqref="S21"/>
    </sheetView>
  </sheetViews>
  <sheetFormatPr defaultColWidth="9.140625" defaultRowHeight="12.75"/>
  <cols>
    <col min="2" max="2" width="7.421875" style="0" customWidth="1"/>
    <col min="3" max="3" width="12.421875" style="0" customWidth="1"/>
    <col min="4" max="4" width="14.57421875" style="0" customWidth="1"/>
    <col min="5" max="5" width="12.57421875" style="0" customWidth="1"/>
    <col min="6" max="6" width="12.421875" style="0" customWidth="1"/>
    <col min="7" max="7" width="16.7109375" style="0" customWidth="1"/>
    <col min="8" max="8" width="15.140625" style="0" customWidth="1"/>
    <col min="9" max="9" width="4.00390625" style="0" customWidth="1"/>
    <col min="12" max="12" width="11.7109375" style="0" customWidth="1"/>
    <col min="14" max="14" width="2.140625" style="0" customWidth="1"/>
    <col min="15" max="15" width="10.57421875" style="0" customWidth="1"/>
  </cols>
  <sheetData>
    <row r="2" spans="4:10" ht="12.75">
      <c r="D2" s="438" t="s">
        <v>411</v>
      </c>
      <c r="F2" s="191" t="s">
        <v>409</v>
      </c>
      <c r="J2" s="191" t="s">
        <v>399</v>
      </c>
    </row>
    <row r="3" spans="4:10" ht="12.75">
      <c r="D3" s="191" t="s">
        <v>394</v>
      </c>
      <c r="J3" s="191" t="s">
        <v>400</v>
      </c>
    </row>
    <row r="4" spans="3:13" ht="13.5" thickBot="1">
      <c r="C4" s="411" t="s">
        <v>384</v>
      </c>
      <c r="D4" s="413" t="s">
        <v>385</v>
      </c>
      <c r="E4" s="413" t="s">
        <v>386</v>
      </c>
      <c r="F4" s="413" t="s">
        <v>387</v>
      </c>
      <c r="G4" s="426" t="s">
        <v>397</v>
      </c>
      <c r="J4" s="399" t="s">
        <v>216</v>
      </c>
      <c r="K4" s="439" t="s">
        <v>217</v>
      </c>
      <c r="L4" s="439" t="s">
        <v>412</v>
      </c>
      <c r="M4" s="439" t="s">
        <v>219</v>
      </c>
    </row>
    <row r="5" spans="3:17" ht="12.75">
      <c r="C5" s="412" t="s">
        <v>416</v>
      </c>
      <c r="D5" s="414">
        <v>1</v>
      </c>
      <c r="E5" s="415">
        <v>2</v>
      </c>
      <c r="F5" s="416">
        <v>3</v>
      </c>
      <c r="G5" s="417">
        <f>SUM(D5:F5)</f>
        <v>6</v>
      </c>
      <c r="I5" s="191" t="s">
        <v>401</v>
      </c>
      <c r="J5" s="299">
        <f>D5</f>
        <v>1</v>
      </c>
      <c r="K5" s="299">
        <f>D18</f>
        <v>1.6</v>
      </c>
      <c r="L5" s="299">
        <f>J5-K5</f>
        <v>-0.6000000000000001</v>
      </c>
      <c r="M5" s="447">
        <f aca="true" t="shared" si="0" ref="M5:M13">L5*L5/K5</f>
        <v>0.22500000000000006</v>
      </c>
      <c r="O5" s="411" t="s">
        <v>419</v>
      </c>
      <c r="P5" s="200">
        <f>CHIDIST(M15,J16)</f>
        <v>0.976470996387221</v>
      </c>
      <c r="Q5" t="s">
        <v>422</v>
      </c>
    </row>
    <row r="6" spans="3:17" ht="12.75">
      <c r="C6" s="412" t="s">
        <v>417</v>
      </c>
      <c r="D6" s="418">
        <v>4</v>
      </c>
      <c r="E6" s="177">
        <v>5</v>
      </c>
      <c r="F6" s="419">
        <v>6</v>
      </c>
      <c r="G6" s="417">
        <f>SUM(D6:F6)</f>
        <v>15</v>
      </c>
      <c r="I6" s="191" t="s">
        <v>402</v>
      </c>
      <c r="J6" s="299">
        <f>E5</f>
        <v>2</v>
      </c>
      <c r="K6" s="299">
        <f>E18</f>
        <v>2</v>
      </c>
      <c r="L6" s="299">
        <f aca="true" t="shared" si="1" ref="L6:L13">J6-K6</f>
        <v>0</v>
      </c>
      <c r="M6" s="447">
        <f t="shared" si="0"/>
        <v>0</v>
      </c>
      <c r="O6" s="411" t="s">
        <v>420</v>
      </c>
      <c r="P6" s="200">
        <f>CHIINV(L18,J16)</f>
        <v>0.4687500000000001</v>
      </c>
      <c r="Q6" t="s">
        <v>423</v>
      </c>
    </row>
    <row r="7" spans="3:17" ht="13.5" thickBot="1">
      <c r="C7" s="412" t="s">
        <v>418</v>
      </c>
      <c r="D7" s="420">
        <v>7</v>
      </c>
      <c r="E7" s="421">
        <v>8</v>
      </c>
      <c r="F7" s="422">
        <v>9</v>
      </c>
      <c r="G7" s="417">
        <f>SUM(D7:F7)</f>
        <v>24</v>
      </c>
      <c r="I7" s="191" t="s">
        <v>403</v>
      </c>
      <c r="J7" s="299">
        <f>F5</f>
        <v>3</v>
      </c>
      <c r="K7" s="299">
        <f>F18</f>
        <v>2.4</v>
      </c>
      <c r="L7" s="299">
        <f t="shared" si="1"/>
        <v>0.6000000000000001</v>
      </c>
      <c r="M7" s="447">
        <f t="shared" si="0"/>
        <v>0.15000000000000005</v>
      </c>
      <c r="O7" s="411" t="s">
        <v>421</v>
      </c>
      <c r="P7" s="200">
        <f>CHITEST(J5:J13,K5:K13)</f>
        <v>0.9998956899733842</v>
      </c>
      <c r="Q7" t="s">
        <v>424</v>
      </c>
    </row>
    <row r="8" spans="3:13" ht="12.75">
      <c r="C8" s="280" t="s">
        <v>396</v>
      </c>
      <c r="D8" s="423">
        <f>SUM(D5:D7)</f>
        <v>12</v>
      </c>
      <c r="E8" s="423">
        <f>SUM(E5:E7)</f>
        <v>15</v>
      </c>
      <c r="F8" s="423">
        <f>SUM(F5:F7)</f>
        <v>18</v>
      </c>
      <c r="G8" s="424">
        <f>SUM(G5:G7)</f>
        <v>45</v>
      </c>
      <c r="H8" t="s">
        <v>388</v>
      </c>
      <c r="I8" s="191" t="s">
        <v>401</v>
      </c>
      <c r="J8" s="299">
        <f>D6</f>
        <v>4</v>
      </c>
      <c r="K8" s="299">
        <f>D19</f>
        <v>4</v>
      </c>
      <c r="L8" s="299">
        <f t="shared" si="1"/>
        <v>0</v>
      </c>
      <c r="M8" s="447">
        <f t="shared" si="0"/>
        <v>0</v>
      </c>
    </row>
    <row r="9" spans="4:13" ht="12.75">
      <c r="D9" s="173"/>
      <c r="E9" s="173"/>
      <c r="F9" s="173"/>
      <c r="G9" s="424">
        <f>SUM(D8:F8)</f>
        <v>45</v>
      </c>
      <c r="H9" t="s">
        <v>389</v>
      </c>
      <c r="I9" s="191" t="s">
        <v>404</v>
      </c>
      <c r="J9" s="299">
        <f>E6</f>
        <v>5</v>
      </c>
      <c r="K9" s="299">
        <f>E19</f>
        <v>5</v>
      </c>
      <c r="L9" s="299">
        <f t="shared" si="1"/>
        <v>0</v>
      </c>
      <c r="M9" s="447">
        <f t="shared" si="0"/>
        <v>0</v>
      </c>
    </row>
    <row r="10" spans="3:13" ht="12.75">
      <c r="C10" s="425" t="s">
        <v>391</v>
      </c>
      <c r="E10" s="299">
        <f>(D12-1)*(E12-1)</f>
        <v>4</v>
      </c>
      <c r="G10" s="440" t="s">
        <v>390</v>
      </c>
      <c r="H10" s="191" t="s">
        <v>398</v>
      </c>
      <c r="I10" s="191" t="s">
        <v>405</v>
      </c>
      <c r="J10" s="299">
        <f>F6</f>
        <v>6</v>
      </c>
      <c r="K10" s="299">
        <f>F19</f>
        <v>6</v>
      </c>
      <c r="L10" s="299">
        <f t="shared" si="1"/>
        <v>0</v>
      </c>
      <c r="M10" s="447">
        <f t="shared" si="0"/>
        <v>0</v>
      </c>
    </row>
    <row r="11" spans="4:13" ht="12.75">
      <c r="D11" s="427" t="s">
        <v>392</v>
      </c>
      <c r="E11" s="427" t="s">
        <v>393</v>
      </c>
      <c r="I11" s="191" t="s">
        <v>406</v>
      </c>
      <c r="J11" s="299">
        <f>D7</f>
        <v>7</v>
      </c>
      <c r="K11" s="299">
        <f>D20</f>
        <v>6.4</v>
      </c>
      <c r="L11" s="299">
        <f t="shared" si="1"/>
        <v>0.5999999999999996</v>
      </c>
      <c r="M11" s="447">
        <f t="shared" si="0"/>
        <v>0.05624999999999993</v>
      </c>
    </row>
    <row r="12" spans="4:13" ht="12.75">
      <c r="D12" s="300">
        <v>3</v>
      </c>
      <c r="E12" s="300">
        <v>3</v>
      </c>
      <c r="I12" s="191" t="s">
        <v>407</v>
      </c>
      <c r="J12" s="299">
        <f>E7</f>
        <v>8</v>
      </c>
      <c r="K12" s="299">
        <f>E20</f>
        <v>8</v>
      </c>
      <c r="L12" s="299">
        <f t="shared" si="1"/>
        <v>0</v>
      </c>
      <c r="M12" s="447">
        <f t="shared" si="0"/>
        <v>0</v>
      </c>
    </row>
    <row r="13" spans="9:13" ht="12.75">
      <c r="I13" s="191" t="s">
        <v>408</v>
      </c>
      <c r="J13" s="299">
        <f>F7</f>
        <v>9</v>
      </c>
      <c r="K13" s="299">
        <f>F20</f>
        <v>9.6</v>
      </c>
      <c r="L13" s="299">
        <f t="shared" si="1"/>
        <v>-0.5999999999999996</v>
      </c>
      <c r="M13" s="447">
        <f t="shared" si="0"/>
        <v>0.03749999999999996</v>
      </c>
    </row>
    <row r="14" spans="10:13" ht="12.75">
      <c r="J14" s="173"/>
      <c r="K14" s="173"/>
      <c r="L14" s="173"/>
      <c r="M14" s="173"/>
    </row>
    <row r="15" spans="4:13" ht="12.75">
      <c r="D15" s="399" t="s">
        <v>395</v>
      </c>
      <c r="F15" s="191" t="s">
        <v>410</v>
      </c>
      <c r="J15" s="177" t="s">
        <v>224</v>
      </c>
      <c r="K15" s="173"/>
      <c r="L15" s="173" t="s">
        <v>221</v>
      </c>
      <c r="M15" s="299">
        <f>SUM(M5:M13)</f>
        <v>0.46875</v>
      </c>
    </row>
    <row r="16" spans="4:13" ht="15.75">
      <c r="D16" s="191" t="s">
        <v>428</v>
      </c>
      <c r="J16" s="299">
        <f>E10</f>
        <v>4</v>
      </c>
      <c r="K16" s="173"/>
      <c r="L16" s="173"/>
      <c r="M16" s="173"/>
    </row>
    <row r="17" spans="3:11" ht="13.5" thickBot="1">
      <c r="C17" s="411" t="s">
        <v>384</v>
      </c>
      <c r="D17" s="413" t="str">
        <f>D4</f>
        <v>perference1</v>
      </c>
      <c r="E17" s="413" t="str">
        <f>E4</f>
        <v>preference2</v>
      </c>
      <c r="F17" s="413" t="str">
        <f>F4</f>
        <v>preference3</v>
      </c>
      <c r="G17" s="426" t="s">
        <v>397</v>
      </c>
      <c r="K17" t="s">
        <v>222</v>
      </c>
    </row>
    <row r="18" spans="3:12" ht="12.75">
      <c r="C18" s="412" t="str">
        <f>C5</f>
        <v>subgroup1</v>
      </c>
      <c r="D18" s="428">
        <f>G18*D21/G21</f>
        <v>1.6</v>
      </c>
      <c r="E18" s="429">
        <f>G18*E21/G21</f>
        <v>2</v>
      </c>
      <c r="F18" s="430">
        <f>G18*F21/G21</f>
        <v>2.4</v>
      </c>
      <c r="G18" s="436">
        <f>G5</f>
        <v>6</v>
      </c>
      <c r="K18" t="s">
        <v>223</v>
      </c>
      <c r="L18" s="200">
        <f>CHIDIST(M15,J16)</f>
        <v>0.976470996387221</v>
      </c>
    </row>
    <row r="19" spans="3:7" ht="12.75">
      <c r="C19" s="412" t="str">
        <f>C6</f>
        <v>subgroup2</v>
      </c>
      <c r="D19" s="431">
        <f>G19*D21/G21</f>
        <v>4</v>
      </c>
      <c r="E19" s="299">
        <f>G19*E21/G21</f>
        <v>5</v>
      </c>
      <c r="F19" s="432">
        <f>G19*F21/G21</f>
        <v>6</v>
      </c>
      <c r="G19" s="436">
        <f>G6</f>
        <v>15</v>
      </c>
    </row>
    <row r="20" spans="3:7" ht="13.5" thickBot="1">
      <c r="C20" s="412" t="str">
        <f>C7</f>
        <v>subgroup3</v>
      </c>
      <c r="D20" s="433">
        <f>G20*D21/G21</f>
        <v>6.4</v>
      </c>
      <c r="E20" s="434">
        <f>G20*E21/G21</f>
        <v>8</v>
      </c>
      <c r="F20" s="437">
        <f>G20*F21/G21</f>
        <v>9.6</v>
      </c>
      <c r="G20" s="436">
        <f>G7</f>
        <v>24</v>
      </c>
    </row>
    <row r="21" spans="3:7" ht="12.75">
      <c r="C21" s="280" t="s">
        <v>396</v>
      </c>
      <c r="D21" s="435">
        <f>D8</f>
        <v>12</v>
      </c>
      <c r="E21" s="435">
        <f>E8</f>
        <v>15</v>
      </c>
      <c r="F21" s="435">
        <f>F8</f>
        <v>18</v>
      </c>
      <c r="G21" s="441">
        <f>SUM(G18:G20)</f>
        <v>45</v>
      </c>
    </row>
    <row r="22" spans="4:7" ht="12.75">
      <c r="D22" s="173"/>
      <c r="E22" s="173"/>
      <c r="F22" s="173"/>
      <c r="G22" s="441">
        <f>SUM(D21:F21)</f>
        <v>45</v>
      </c>
    </row>
    <row r="23" spans="3:7" ht="12.75">
      <c r="C23" s="425"/>
      <c r="D23" s="85"/>
      <c r="E23" s="324"/>
      <c r="G23" s="442" t="s">
        <v>390</v>
      </c>
    </row>
    <row r="24" spans="3:5" s="444" customFormat="1" ht="12.75">
      <c r="C24" s="445"/>
      <c r="D24" s="446"/>
      <c r="E24" s="446"/>
    </row>
    <row r="25" spans="1:15" s="28" customFormat="1" ht="12.75">
      <c r="A25" s="410"/>
      <c r="B25" s="410"/>
      <c r="C25" s="277"/>
      <c r="D25" s="168"/>
      <c r="E25" s="168"/>
      <c r="F25" s="410"/>
      <c r="G25" s="410"/>
      <c r="H25" s="410"/>
      <c r="I25" s="410"/>
      <c r="J25" s="410"/>
      <c r="K25" s="410"/>
      <c r="L25" s="410"/>
      <c r="M25" s="410"/>
      <c r="N25" s="410"/>
      <c r="O25" s="410"/>
    </row>
    <row r="26" spans="1:15" s="28" customFormat="1" ht="12.75">
      <c r="A26" s="410"/>
      <c r="B26" s="410"/>
      <c r="C26" s="277"/>
      <c r="D26" s="277"/>
      <c r="E26" s="277"/>
      <c r="F26" s="410"/>
      <c r="G26" s="410"/>
      <c r="H26" s="410"/>
      <c r="I26" s="410"/>
      <c r="J26" s="410"/>
      <c r="K26" s="410"/>
      <c r="L26" s="410"/>
      <c r="M26" s="410"/>
      <c r="N26" s="410"/>
      <c r="O26" s="410"/>
    </row>
    <row r="27" spans="1:15" s="28" customFormat="1" ht="12.75">
      <c r="A27" s="410"/>
      <c r="B27" s="410"/>
      <c r="C27" s="410"/>
      <c r="D27" s="363" t="s">
        <v>411</v>
      </c>
      <c r="E27" s="410"/>
      <c r="F27" s="410" t="s">
        <v>409</v>
      </c>
      <c r="G27" s="410"/>
      <c r="H27" s="410"/>
      <c r="I27" s="410"/>
      <c r="J27" s="410" t="s">
        <v>399</v>
      </c>
      <c r="K27" s="410"/>
      <c r="L27" s="410"/>
      <c r="M27" s="410"/>
      <c r="N27" s="410"/>
      <c r="O27" s="410"/>
    </row>
    <row r="28" spans="1:16" s="28" customFormat="1" ht="12.75">
      <c r="A28" s="410"/>
      <c r="B28" s="410"/>
      <c r="C28" s="410"/>
      <c r="D28" s="410" t="s">
        <v>394</v>
      </c>
      <c r="E28" s="410"/>
      <c r="F28" s="410"/>
      <c r="G28" s="410"/>
      <c r="H28" s="410"/>
      <c r="I28" s="410"/>
      <c r="J28" s="410" t="s">
        <v>400</v>
      </c>
      <c r="K28" s="410"/>
      <c r="L28" s="410"/>
      <c r="M28" s="410"/>
      <c r="N28" s="410"/>
      <c r="O28" s="410"/>
      <c r="P28" s="449"/>
    </row>
    <row r="29" spans="1:16" s="28" customFormat="1" ht="13.5" thickBot="1">
      <c r="A29" s="410"/>
      <c r="B29" s="410"/>
      <c r="C29" s="363" t="s">
        <v>384</v>
      </c>
      <c r="D29" s="450" t="s">
        <v>430</v>
      </c>
      <c r="E29" s="450" t="s">
        <v>429</v>
      </c>
      <c r="F29" s="450" t="s">
        <v>431</v>
      </c>
      <c r="G29" s="451" t="s">
        <v>397</v>
      </c>
      <c r="H29" s="410"/>
      <c r="I29" s="410"/>
      <c r="J29" s="365" t="s">
        <v>216</v>
      </c>
      <c r="K29" s="168" t="s">
        <v>217</v>
      </c>
      <c r="L29" s="168" t="s">
        <v>412</v>
      </c>
      <c r="M29" s="168" t="s">
        <v>220</v>
      </c>
      <c r="N29" s="410"/>
      <c r="O29" s="410"/>
      <c r="P29" s="449"/>
    </row>
    <row r="30" spans="1:16" s="28" customFormat="1" ht="12.75">
      <c r="A30" s="410"/>
      <c r="B30" s="410"/>
      <c r="C30" s="478" t="s">
        <v>413</v>
      </c>
      <c r="D30" s="452">
        <v>5</v>
      </c>
      <c r="E30" s="453">
        <v>12</v>
      </c>
      <c r="F30" s="454">
        <v>8</v>
      </c>
      <c r="G30" s="455">
        <f>SUM(D30:F30)</f>
        <v>25</v>
      </c>
      <c r="H30" s="410"/>
      <c r="I30" s="410" t="s">
        <v>401</v>
      </c>
      <c r="J30" s="169">
        <f>D30</f>
        <v>5</v>
      </c>
      <c r="K30" s="456">
        <f>D43</f>
        <v>8.666666666666666</v>
      </c>
      <c r="L30" s="456">
        <f aca="true" t="shared" si="2" ref="L30:L38">J30-K30</f>
        <v>-3.666666666666666</v>
      </c>
      <c r="M30" s="456">
        <f aca="true" t="shared" si="3" ref="M30:M38">L30*L30/K30</f>
        <v>1.5512820512820509</v>
      </c>
      <c r="P30" s="449"/>
    </row>
    <row r="31" spans="1:13" s="28" customFormat="1" ht="12.75">
      <c r="A31" s="410"/>
      <c r="B31" s="410"/>
      <c r="C31" s="478" t="s">
        <v>414</v>
      </c>
      <c r="D31" s="457">
        <v>6</v>
      </c>
      <c r="E31" s="275">
        <v>14</v>
      </c>
      <c r="F31" s="458">
        <v>5</v>
      </c>
      <c r="G31" s="455">
        <f>SUM(D31:F31)</f>
        <v>25</v>
      </c>
      <c r="H31" s="410"/>
      <c r="I31" s="410" t="s">
        <v>402</v>
      </c>
      <c r="J31" s="169">
        <f>E30</f>
        <v>12</v>
      </c>
      <c r="K31" s="456">
        <f>E43</f>
        <v>10.333333333333334</v>
      </c>
      <c r="L31" s="456">
        <f t="shared" si="2"/>
        <v>1.666666666666666</v>
      </c>
      <c r="M31" s="456">
        <f t="shared" si="3"/>
        <v>0.2688172043010751</v>
      </c>
    </row>
    <row r="32" spans="1:16" s="28" customFormat="1" ht="13.5" thickBot="1">
      <c r="A32" s="410"/>
      <c r="B32" s="410"/>
      <c r="C32" s="478" t="s">
        <v>415</v>
      </c>
      <c r="D32" s="459">
        <v>15</v>
      </c>
      <c r="E32" s="460">
        <v>5</v>
      </c>
      <c r="F32" s="461">
        <v>5</v>
      </c>
      <c r="G32" s="455">
        <f>SUM(D32:F32)</f>
        <v>25</v>
      </c>
      <c r="H32" s="410"/>
      <c r="I32" s="410" t="s">
        <v>403</v>
      </c>
      <c r="J32" s="169">
        <f>F30</f>
        <v>8</v>
      </c>
      <c r="K32" s="456">
        <f>F43</f>
        <v>6</v>
      </c>
      <c r="L32" s="456">
        <f t="shared" si="2"/>
        <v>2</v>
      </c>
      <c r="M32" s="456">
        <f t="shared" si="3"/>
        <v>0.6666666666666666</v>
      </c>
      <c r="P32" s="449"/>
    </row>
    <row r="33" spans="1:16" s="28" customFormat="1" ht="12.75">
      <c r="A33" s="410"/>
      <c r="B33" s="410"/>
      <c r="C33" s="479" t="s">
        <v>396</v>
      </c>
      <c r="D33" s="370">
        <f>SUM(D30:D32)</f>
        <v>26</v>
      </c>
      <c r="E33" s="370">
        <f>SUM(E30:E32)</f>
        <v>31</v>
      </c>
      <c r="F33" s="370">
        <f>SUM(F30:F32)</f>
        <v>18</v>
      </c>
      <c r="G33" s="462">
        <f>SUM(G30:G32)</f>
        <v>75</v>
      </c>
      <c r="H33" s="410" t="s">
        <v>388</v>
      </c>
      <c r="I33" s="410" t="s">
        <v>401</v>
      </c>
      <c r="J33" s="169">
        <f>D31</f>
        <v>6</v>
      </c>
      <c r="K33" s="456">
        <f>D44</f>
        <v>8.666666666666666</v>
      </c>
      <c r="L33" s="456">
        <f t="shared" si="2"/>
        <v>-2.666666666666666</v>
      </c>
      <c r="M33" s="456">
        <f t="shared" si="3"/>
        <v>0.8205128205128203</v>
      </c>
      <c r="P33" s="449"/>
    </row>
    <row r="34" spans="1:16" s="28" customFormat="1" ht="12.75">
      <c r="A34" s="410"/>
      <c r="B34" s="410"/>
      <c r="C34" s="410"/>
      <c r="D34" s="365"/>
      <c r="E34" s="365"/>
      <c r="F34" s="365"/>
      <c r="G34" s="462">
        <f>SUM(D33:F33)</f>
        <v>75</v>
      </c>
      <c r="H34" s="410" t="s">
        <v>389</v>
      </c>
      <c r="I34" s="410" t="s">
        <v>404</v>
      </c>
      <c r="J34" s="169">
        <f>E31</f>
        <v>14</v>
      </c>
      <c r="K34" s="456">
        <f>E44</f>
        <v>10.333333333333334</v>
      </c>
      <c r="L34" s="456">
        <f t="shared" si="2"/>
        <v>3.666666666666666</v>
      </c>
      <c r="M34" s="456">
        <f t="shared" si="3"/>
        <v>1.3010752688172038</v>
      </c>
      <c r="P34" s="449"/>
    </row>
    <row r="35" spans="1:13" s="28" customFormat="1" ht="12.75">
      <c r="A35" s="410"/>
      <c r="B35" s="410"/>
      <c r="C35" s="480" t="s">
        <v>391</v>
      </c>
      <c r="D35" s="410"/>
      <c r="E35" s="169">
        <f>(D37-1)*(E37-1)</f>
        <v>4</v>
      </c>
      <c r="F35" s="410"/>
      <c r="G35" s="463" t="s">
        <v>390</v>
      </c>
      <c r="H35" s="410" t="s">
        <v>398</v>
      </c>
      <c r="I35" s="410" t="s">
        <v>405</v>
      </c>
      <c r="J35" s="169">
        <f>F31</f>
        <v>5</v>
      </c>
      <c r="K35" s="456">
        <f>F44</f>
        <v>6</v>
      </c>
      <c r="L35" s="456">
        <f t="shared" si="2"/>
        <v>-1</v>
      </c>
      <c r="M35" s="456">
        <f t="shared" si="3"/>
        <v>0.16666666666666666</v>
      </c>
    </row>
    <row r="36" spans="1:16" s="28" customFormat="1" ht="12.75">
      <c r="A36" s="410"/>
      <c r="B36" s="410"/>
      <c r="C36" s="410"/>
      <c r="D36" s="464" t="s">
        <v>392</v>
      </c>
      <c r="E36" s="464" t="s">
        <v>393</v>
      </c>
      <c r="F36" s="410"/>
      <c r="G36" s="410"/>
      <c r="H36" s="410"/>
      <c r="I36" s="410" t="s">
        <v>406</v>
      </c>
      <c r="J36" s="169">
        <f>D32</f>
        <v>15</v>
      </c>
      <c r="K36" s="456">
        <f>D45</f>
        <v>8.666666666666666</v>
      </c>
      <c r="L36" s="456">
        <f t="shared" si="2"/>
        <v>6.333333333333334</v>
      </c>
      <c r="M36" s="456">
        <f t="shared" si="3"/>
        <v>4.6282051282051295</v>
      </c>
      <c r="P36" s="449"/>
    </row>
    <row r="37" spans="1:16" s="28" customFormat="1" ht="12.75">
      <c r="A37" s="410"/>
      <c r="B37" s="410"/>
      <c r="C37" s="410"/>
      <c r="D37" s="465">
        <v>3</v>
      </c>
      <c r="E37" s="465">
        <v>3</v>
      </c>
      <c r="F37" s="410"/>
      <c r="G37" s="410"/>
      <c r="H37" s="410"/>
      <c r="I37" s="410" t="s">
        <v>407</v>
      </c>
      <c r="J37" s="169">
        <f>E32</f>
        <v>5</v>
      </c>
      <c r="K37" s="456">
        <f>E45</f>
        <v>10.333333333333334</v>
      </c>
      <c r="L37" s="456">
        <f t="shared" si="2"/>
        <v>-5.333333333333334</v>
      </c>
      <c r="M37" s="456">
        <f t="shared" si="3"/>
        <v>2.752688172043011</v>
      </c>
      <c r="P37" s="449"/>
    </row>
    <row r="38" spans="1:13" s="28" customFormat="1" ht="12.75">
      <c r="A38" s="410"/>
      <c r="B38" s="410"/>
      <c r="C38" s="410"/>
      <c r="F38" s="410"/>
      <c r="H38" s="410"/>
      <c r="I38" s="410" t="s">
        <v>408</v>
      </c>
      <c r="J38" s="169">
        <f>F32</f>
        <v>5</v>
      </c>
      <c r="K38" s="456">
        <f>F45</f>
        <v>6</v>
      </c>
      <c r="L38" s="456">
        <f t="shared" si="2"/>
        <v>-1</v>
      </c>
      <c r="M38" s="456">
        <f t="shared" si="3"/>
        <v>0.16666666666666666</v>
      </c>
    </row>
    <row r="39" spans="1:14" s="28" customFormat="1" ht="12.75">
      <c r="A39" s="410"/>
      <c r="B39" s="410"/>
      <c r="C39" s="410"/>
      <c r="D39" s="410"/>
      <c r="E39" s="410"/>
      <c r="F39" s="410"/>
      <c r="G39" s="410"/>
      <c r="H39" s="410"/>
      <c r="I39" s="410"/>
      <c r="J39" s="365"/>
      <c r="K39" s="365"/>
      <c r="L39" s="365"/>
      <c r="M39" s="365"/>
      <c r="N39" s="410"/>
    </row>
    <row r="40" spans="1:13" s="28" customFormat="1" ht="12.75">
      <c r="A40" s="410"/>
      <c r="B40" s="410"/>
      <c r="C40" s="410"/>
      <c r="D40" s="365" t="s">
        <v>395</v>
      </c>
      <c r="E40" s="410"/>
      <c r="F40" s="410" t="s">
        <v>410</v>
      </c>
      <c r="G40" s="410"/>
      <c r="H40" s="410"/>
      <c r="I40" s="410"/>
      <c r="J40" s="275" t="s">
        <v>224</v>
      </c>
      <c r="K40" s="365"/>
      <c r="L40" s="367" t="s">
        <v>221</v>
      </c>
      <c r="M40" s="169">
        <f>SUM(M30:M38)</f>
        <v>12.32258064516129</v>
      </c>
    </row>
    <row r="41" spans="1:13" s="28" customFormat="1" ht="14.25">
      <c r="A41" s="410"/>
      <c r="B41" s="410"/>
      <c r="C41" s="410"/>
      <c r="D41" s="443" t="s">
        <v>427</v>
      </c>
      <c r="E41" s="410"/>
      <c r="F41" s="410"/>
      <c r="G41" s="410"/>
      <c r="H41" s="410"/>
      <c r="I41" s="410"/>
      <c r="J41" s="169">
        <f>E35</f>
        <v>4</v>
      </c>
      <c r="K41" s="365"/>
      <c r="L41" s="365"/>
      <c r="M41" s="365"/>
    </row>
    <row r="42" spans="1:13" s="28" customFormat="1" ht="13.5" thickBot="1">
      <c r="A42" s="410"/>
      <c r="B42" s="410"/>
      <c r="C42" s="363" t="s">
        <v>384</v>
      </c>
      <c r="D42" s="450" t="str">
        <f>D29</f>
        <v>4 to 6.5 hours</v>
      </c>
      <c r="E42" s="450" t="str">
        <f>E29</f>
        <v>6.5 to 8 hours</v>
      </c>
      <c r="F42" s="450" t="str">
        <f>F29</f>
        <v>8 to 10.5 hrs.</v>
      </c>
      <c r="G42" s="451" t="s">
        <v>397</v>
      </c>
      <c r="H42" s="410"/>
      <c r="I42" s="410"/>
      <c r="J42" s="410"/>
      <c r="K42" s="410" t="s">
        <v>222</v>
      </c>
      <c r="M42" s="410"/>
    </row>
    <row r="43" spans="1:13" s="28" customFormat="1" ht="12.75">
      <c r="A43" s="410"/>
      <c r="B43" s="410"/>
      <c r="C43" s="478" t="str">
        <f>C30</f>
        <v>preteens</v>
      </c>
      <c r="D43" s="466">
        <f>G43*D46/G46</f>
        <v>8.666666666666666</v>
      </c>
      <c r="E43" s="467">
        <f>G43*E46/G46</f>
        <v>10.333333333333334</v>
      </c>
      <c r="F43" s="468">
        <f>G43*F46/G46</f>
        <v>6</v>
      </c>
      <c r="G43" s="469">
        <f>G30</f>
        <v>25</v>
      </c>
      <c r="H43" s="410"/>
      <c r="I43" s="410"/>
      <c r="J43" s="410"/>
      <c r="K43" s="410" t="s">
        <v>223</v>
      </c>
      <c r="L43" s="369">
        <f>CHIDIST(M40,J41)</f>
        <v>0.015106953490344141</v>
      </c>
      <c r="M43" s="410"/>
    </row>
    <row r="44" spans="1:13" s="28" customFormat="1" ht="12.75">
      <c r="A44" s="410"/>
      <c r="B44" s="410"/>
      <c r="C44" s="478" t="str">
        <f>C31</f>
        <v>teens</v>
      </c>
      <c r="D44" s="470">
        <f>G44*D46/G46</f>
        <v>8.666666666666666</v>
      </c>
      <c r="E44" s="471">
        <f>G44*E46/G46</f>
        <v>10.333333333333334</v>
      </c>
      <c r="F44" s="472">
        <f>G44*F46/G46</f>
        <v>6</v>
      </c>
      <c r="G44" s="469">
        <f>G31</f>
        <v>25</v>
      </c>
      <c r="H44" s="410"/>
      <c r="I44" s="410"/>
      <c r="J44" s="410"/>
      <c r="K44" s="410"/>
      <c r="L44" s="410"/>
      <c r="M44" s="410"/>
    </row>
    <row r="45" spans="1:13" s="28" customFormat="1" ht="13.5" thickBot="1">
      <c r="A45" s="410"/>
      <c r="B45" s="410"/>
      <c r="C45" s="478" t="str">
        <f>C32</f>
        <v>college kids</v>
      </c>
      <c r="D45" s="473">
        <f>G45*D46/G46</f>
        <v>8.666666666666666</v>
      </c>
      <c r="E45" s="474">
        <f>G45*E46/G46</f>
        <v>10.333333333333334</v>
      </c>
      <c r="F45" s="475">
        <f>G45*F46/G46</f>
        <v>6</v>
      </c>
      <c r="G45" s="469">
        <f>G32</f>
        <v>25</v>
      </c>
      <c r="H45" s="410"/>
      <c r="I45" s="410"/>
      <c r="J45" s="410"/>
      <c r="K45" s="410"/>
      <c r="L45" s="410"/>
      <c r="M45" s="410"/>
    </row>
    <row r="46" spans="1:13" s="28" customFormat="1" ht="12.75">
      <c r="A46" s="410"/>
      <c r="B46" s="410"/>
      <c r="C46" s="479" t="s">
        <v>396</v>
      </c>
      <c r="D46" s="476">
        <f>D33</f>
        <v>26</v>
      </c>
      <c r="E46" s="476">
        <f>E33</f>
        <v>31</v>
      </c>
      <c r="F46" s="476">
        <f>F33</f>
        <v>18</v>
      </c>
      <c r="G46" s="477">
        <f>SUM(G43:G45)</f>
        <v>75</v>
      </c>
      <c r="H46" s="410"/>
      <c r="I46" s="410"/>
      <c r="J46" s="410"/>
      <c r="K46" s="410"/>
      <c r="L46" s="410"/>
      <c r="M46" s="410"/>
    </row>
    <row r="47" spans="1:13" s="28" customFormat="1" ht="12.75">
      <c r="A47" s="410"/>
      <c r="B47" s="410"/>
      <c r="C47" s="410"/>
      <c r="D47" s="365"/>
      <c r="E47" s="365"/>
      <c r="F47" s="365"/>
      <c r="G47" s="481"/>
      <c r="H47" s="410"/>
      <c r="I47" s="410"/>
      <c r="J47" s="410"/>
      <c r="K47" s="410"/>
      <c r="L47" s="410"/>
      <c r="M47" s="410"/>
    </row>
    <row r="48" spans="1:14" s="28" customFormat="1" ht="12.75">
      <c r="A48" s="410"/>
      <c r="B48" s="410"/>
      <c r="C48" s="480"/>
      <c r="D48" s="277"/>
      <c r="E48" s="168"/>
      <c r="F48" s="410"/>
      <c r="G48" s="482"/>
      <c r="H48" s="410"/>
      <c r="I48" s="410"/>
      <c r="J48" s="410"/>
      <c r="K48" s="410"/>
      <c r="L48" s="410"/>
      <c r="M48" s="410"/>
      <c r="N48" s="410"/>
    </row>
    <row r="49" spans="1:14" s="28" customFormat="1" ht="12.75">
      <c r="A49" s="410"/>
      <c r="B49" s="410"/>
      <c r="C49" s="277"/>
      <c r="D49" s="168"/>
      <c r="E49" s="168"/>
      <c r="F49" s="410"/>
      <c r="G49" s="410"/>
      <c r="H49" s="410"/>
      <c r="I49" s="410"/>
      <c r="J49" s="410"/>
      <c r="K49" s="410"/>
      <c r="L49" s="410"/>
      <c r="M49" s="410"/>
      <c r="N49" s="410"/>
    </row>
    <row r="50" spans="1:14" s="28" customFormat="1" ht="12.75">
      <c r="A50" s="410"/>
      <c r="B50" s="410"/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</row>
    <row r="51" spans="3:14" s="28" customFormat="1" ht="12.75">
      <c r="C51" s="410"/>
      <c r="D51" s="410"/>
      <c r="E51" s="410"/>
      <c r="F51" s="410"/>
      <c r="G51" s="410"/>
      <c r="H51" s="410"/>
      <c r="I51" s="410"/>
      <c r="J51" s="410"/>
      <c r="K51" s="410"/>
      <c r="L51" s="410"/>
      <c r="M51" s="410"/>
      <c r="N51" s="410"/>
    </row>
    <row r="52" spans="7:14" s="28" customFormat="1" ht="12.75">
      <c r="G52" s="410"/>
      <c r="H52" s="410"/>
      <c r="I52" s="410"/>
      <c r="J52" s="410"/>
      <c r="K52" s="410"/>
      <c r="L52" s="410"/>
      <c r="M52" s="410"/>
      <c r="N52" s="410"/>
    </row>
    <row r="53" spans="8:9" s="28" customFormat="1" ht="12.75">
      <c r="H53" s="410"/>
      <c r="I53" s="410"/>
    </row>
    <row r="54" spans="8:9" s="28" customFormat="1" ht="12.75">
      <c r="H54" s="410"/>
      <c r="I54" s="41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I56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.28125" style="215" customWidth="1"/>
    <col min="2" max="2" width="11.00390625" style="0" customWidth="1"/>
    <col min="3" max="3" width="9.140625" style="0" customWidth="1"/>
    <col min="4" max="4" width="13.28125" style="0" customWidth="1"/>
    <col min="5" max="5" width="9.140625" style="215" customWidth="1"/>
    <col min="6" max="6" width="4.421875" style="215" customWidth="1"/>
    <col min="7" max="7" width="6.28125" style="215" customWidth="1"/>
    <col min="8" max="8" width="9.140625" style="215" customWidth="1"/>
    <col min="9" max="9" width="0.9921875" style="215" customWidth="1"/>
    <col min="10" max="10" width="3.140625" style="0" customWidth="1"/>
    <col min="11" max="11" width="9.140625" style="0" customWidth="1"/>
    <col min="12" max="12" width="9.8515625" style="0" customWidth="1"/>
    <col min="13" max="13" width="10.140625" style="0" customWidth="1"/>
    <col min="14" max="14" width="13.28125" style="0" customWidth="1"/>
    <col min="15" max="15" width="13.00390625" style="0" customWidth="1"/>
    <col min="16" max="16" width="9.8515625" style="0" customWidth="1"/>
    <col min="17" max="17" width="12.57421875" style="0" customWidth="1"/>
    <col min="18" max="18" width="11.140625" style="0" customWidth="1"/>
    <col min="19" max="19" width="17.7109375" style="0" customWidth="1"/>
    <col min="20" max="20" width="13.00390625" style="0" customWidth="1"/>
    <col min="21" max="21" width="9.140625" style="166" customWidth="1"/>
    <col min="22" max="22" width="1.8515625" style="0" customWidth="1"/>
    <col min="24" max="24" width="7.7109375" style="0" customWidth="1"/>
    <col min="25" max="25" width="8.7109375" style="0" customWidth="1"/>
    <col min="27" max="27" width="2.8515625" style="0" customWidth="1"/>
    <col min="28" max="28" width="1.57421875" style="166" customWidth="1"/>
    <col min="29" max="29" width="2.7109375" style="0" customWidth="1"/>
    <col min="30" max="30" width="9.8515625" style="0" customWidth="1"/>
    <col min="31" max="31" width="9.57421875" style="0" customWidth="1"/>
    <col min="32" max="32" width="9.140625" style="0" customWidth="1"/>
    <col min="33" max="33" width="9.421875" style="0" customWidth="1"/>
    <col min="34" max="34" width="10.7109375" style="0" customWidth="1"/>
    <col min="35" max="35" width="0.85546875" style="0" customWidth="1"/>
    <col min="36" max="36" width="9.140625" style="166" customWidth="1"/>
  </cols>
  <sheetData>
    <row r="2" spans="1:35" ht="15.75">
      <c r="A2" s="223"/>
      <c r="B2" s="223"/>
      <c r="C2" s="223"/>
      <c r="D2" s="223"/>
      <c r="E2" s="223"/>
      <c r="F2" s="223"/>
      <c r="G2" s="223"/>
      <c r="H2" s="223"/>
      <c r="I2" s="223"/>
      <c r="J2" s="224"/>
      <c r="K2" s="224"/>
      <c r="L2" s="224"/>
      <c r="M2" s="224"/>
      <c r="N2" s="224"/>
      <c r="O2" s="224" t="s">
        <v>249</v>
      </c>
      <c r="P2" s="224"/>
      <c r="Q2" s="224"/>
      <c r="R2" s="224"/>
      <c r="S2" s="224"/>
      <c r="T2" s="224"/>
      <c r="V2" s="216" t="s">
        <v>239</v>
      </c>
      <c r="W2" s="223"/>
      <c r="X2" s="223"/>
      <c r="Y2" s="223"/>
      <c r="Z2" s="223"/>
      <c r="AA2" s="223"/>
      <c r="AB2" s="276"/>
      <c r="AC2" s="231" t="s">
        <v>245</v>
      </c>
      <c r="AD2" s="224"/>
      <c r="AE2" s="224"/>
      <c r="AF2" s="224"/>
      <c r="AG2" s="224" t="s">
        <v>280</v>
      </c>
      <c r="AH2" s="224"/>
      <c r="AI2" s="210"/>
    </row>
    <row r="3" spans="1:35" ht="12.75">
      <c r="A3" s="223"/>
      <c r="B3" s="223"/>
      <c r="C3" s="223"/>
      <c r="D3" s="223"/>
      <c r="E3" s="223"/>
      <c r="F3" s="223"/>
      <c r="G3" s="225" t="s">
        <v>39</v>
      </c>
      <c r="H3" s="226">
        <f>B20</f>
        <v>164.5</v>
      </c>
      <c r="I3" s="223"/>
      <c r="J3" s="224"/>
      <c r="K3" s="224"/>
      <c r="L3" s="224"/>
      <c r="M3" s="224"/>
      <c r="N3" s="224"/>
      <c r="O3" s="227" t="s">
        <v>39</v>
      </c>
      <c r="P3" s="226">
        <f>H3</f>
        <v>164.5</v>
      </c>
      <c r="Q3" s="224" t="s">
        <v>261</v>
      </c>
      <c r="R3" s="224"/>
      <c r="S3" s="224"/>
      <c r="T3" s="224"/>
      <c r="V3" s="215"/>
      <c r="W3" s="223"/>
      <c r="X3" s="223"/>
      <c r="Y3" s="225" t="s">
        <v>39</v>
      </c>
      <c r="Z3" s="230">
        <f>W13</f>
        <v>110</v>
      </c>
      <c r="AA3" s="223"/>
      <c r="AB3" s="276"/>
      <c r="AC3" s="224"/>
      <c r="AD3" s="224"/>
      <c r="AE3" s="224"/>
      <c r="AF3" s="224"/>
      <c r="AG3" s="227" t="s">
        <v>39</v>
      </c>
      <c r="AH3" s="230">
        <f>Z3</f>
        <v>110</v>
      </c>
      <c r="AI3" s="210"/>
    </row>
    <row r="4" spans="1:35" ht="15.75">
      <c r="A4" s="228" t="s">
        <v>239</v>
      </c>
      <c r="B4" s="223"/>
      <c r="C4" s="229"/>
      <c r="D4" s="229"/>
      <c r="E4" s="223"/>
      <c r="F4" s="223"/>
      <c r="G4" s="225" t="s">
        <v>242</v>
      </c>
      <c r="H4" s="230">
        <f>B30</f>
        <v>22.504395819129567</v>
      </c>
      <c r="I4" s="223"/>
      <c r="J4" s="231" t="s">
        <v>245</v>
      </c>
      <c r="K4" s="224"/>
      <c r="L4" s="232"/>
      <c r="M4" s="232"/>
      <c r="N4" s="224"/>
      <c r="O4" s="227" t="s">
        <v>242</v>
      </c>
      <c r="P4" s="226">
        <f>H4</f>
        <v>22.504395819129567</v>
      </c>
      <c r="Q4" s="224" t="s">
        <v>260</v>
      </c>
      <c r="R4" s="224"/>
      <c r="S4" s="224"/>
      <c r="T4" s="224"/>
      <c r="V4" s="215"/>
      <c r="W4" s="223"/>
      <c r="X4" s="223"/>
      <c r="Y4" s="225" t="s">
        <v>242</v>
      </c>
      <c r="Z4" s="230">
        <f>W23</f>
        <v>34.66268710510891</v>
      </c>
      <c r="AA4" s="223"/>
      <c r="AB4" s="276"/>
      <c r="AC4" s="224"/>
      <c r="AD4" s="224"/>
      <c r="AE4" s="232"/>
      <c r="AF4" s="232"/>
      <c r="AG4" s="227" t="s">
        <v>242</v>
      </c>
      <c r="AH4" s="230">
        <f>Z4</f>
        <v>34.66268710510891</v>
      </c>
      <c r="AI4" s="210"/>
    </row>
    <row r="5" spans="1:35" ht="12.75">
      <c r="A5" s="229"/>
      <c r="B5" s="229"/>
      <c r="C5" s="229"/>
      <c r="D5" s="229"/>
      <c r="E5" s="223"/>
      <c r="F5" s="233"/>
      <c r="G5" s="225" t="s">
        <v>244</v>
      </c>
      <c r="H5" s="230">
        <f>B28</f>
        <v>506.44783118405627</v>
      </c>
      <c r="I5" s="223"/>
      <c r="J5" s="232"/>
      <c r="K5" s="232"/>
      <c r="L5" s="232"/>
      <c r="M5" s="232"/>
      <c r="N5" s="224"/>
      <c r="O5" s="224" t="s">
        <v>244</v>
      </c>
      <c r="P5" s="226">
        <f>H5</f>
        <v>506.44783118405627</v>
      </c>
      <c r="Q5" s="224"/>
      <c r="R5" s="224"/>
      <c r="S5" s="224"/>
      <c r="T5" s="224"/>
      <c r="V5" s="202"/>
      <c r="W5" s="229"/>
      <c r="X5" s="223"/>
      <c r="Y5" s="223" t="s">
        <v>244</v>
      </c>
      <c r="Z5" s="230">
        <f>W21</f>
        <v>1201.5018773466834</v>
      </c>
      <c r="AA5" s="233"/>
      <c r="AB5" s="277"/>
      <c r="AC5" s="232"/>
      <c r="AD5" s="232"/>
      <c r="AE5" s="232"/>
      <c r="AF5" s="232"/>
      <c r="AG5" s="224" t="s">
        <v>244</v>
      </c>
      <c r="AH5" s="230">
        <f>Z5</f>
        <v>1201.5018773466834</v>
      </c>
      <c r="AI5" s="210"/>
    </row>
    <row r="6" spans="1:35" ht="12.75">
      <c r="A6" s="229"/>
      <c r="B6" s="229"/>
      <c r="C6" s="229"/>
      <c r="D6" s="229"/>
      <c r="E6" s="223"/>
      <c r="F6" s="233"/>
      <c r="G6" s="223"/>
      <c r="H6" s="234"/>
      <c r="I6" s="223"/>
      <c r="J6" s="232"/>
      <c r="K6" s="232" t="s">
        <v>248</v>
      </c>
      <c r="L6" s="232"/>
      <c r="M6" s="232"/>
      <c r="N6" s="224"/>
      <c r="O6" s="235"/>
      <c r="P6" s="224"/>
      <c r="Q6" s="236"/>
      <c r="R6" s="224"/>
      <c r="S6" s="224"/>
      <c r="T6" s="224"/>
      <c r="V6" s="202"/>
      <c r="W6" s="229"/>
      <c r="X6" s="229"/>
      <c r="Y6" s="229"/>
      <c r="Z6" s="223"/>
      <c r="AA6" s="233"/>
      <c r="AB6" s="277"/>
      <c r="AC6" s="232"/>
      <c r="AD6" s="232"/>
      <c r="AE6" s="232"/>
      <c r="AF6" s="232"/>
      <c r="AG6" s="232"/>
      <c r="AH6" s="232"/>
      <c r="AI6" s="218"/>
    </row>
    <row r="7" spans="1:35" ht="12.75">
      <c r="A7" s="229"/>
      <c r="B7" s="237" t="s">
        <v>237</v>
      </c>
      <c r="C7" s="238" t="s">
        <v>250</v>
      </c>
      <c r="D7" s="237" t="s">
        <v>238</v>
      </c>
      <c r="E7" s="237" t="s">
        <v>236</v>
      </c>
      <c r="F7" s="234"/>
      <c r="G7" s="223"/>
      <c r="H7" s="223"/>
      <c r="I7" s="223"/>
      <c r="J7" s="232"/>
      <c r="K7" s="237" t="s">
        <v>246</v>
      </c>
      <c r="L7" s="237" t="s">
        <v>247</v>
      </c>
      <c r="M7" s="237" t="s">
        <v>237</v>
      </c>
      <c r="N7" s="239" t="s">
        <v>251</v>
      </c>
      <c r="O7" s="238" t="s">
        <v>252</v>
      </c>
      <c r="P7" s="236"/>
      <c r="Q7" s="236"/>
      <c r="R7" s="224"/>
      <c r="S7" s="224"/>
      <c r="T7" s="224"/>
      <c r="V7" s="202"/>
      <c r="W7" s="237" t="s">
        <v>237</v>
      </c>
      <c r="X7" s="238" t="s">
        <v>294</v>
      </c>
      <c r="Y7" s="237" t="s">
        <v>238</v>
      </c>
      <c r="Z7" s="237" t="s">
        <v>236</v>
      </c>
      <c r="AA7" s="234"/>
      <c r="AB7" s="278"/>
      <c r="AC7" s="232"/>
      <c r="AD7" s="237" t="s">
        <v>246</v>
      </c>
      <c r="AE7" s="237" t="s">
        <v>247</v>
      </c>
      <c r="AF7" s="237" t="s">
        <v>237</v>
      </c>
      <c r="AG7" s="239" t="s">
        <v>288</v>
      </c>
      <c r="AH7" s="238" t="s">
        <v>289</v>
      </c>
      <c r="AI7" s="210"/>
    </row>
    <row r="8" spans="1:35" ht="12.75">
      <c r="A8" s="229">
        <v>1</v>
      </c>
      <c r="B8" s="240">
        <f aca="true" t="shared" si="0" ref="B8:B17">M8</f>
        <v>97</v>
      </c>
      <c r="C8" s="241">
        <f>COMBIN(9,0)*5</f>
        <v>5</v>
      </c>
      <c r="D8" s="240">
        <f>B8*C8</f>
        <v>485</v>
      </c>
      <c r="E8" s="240">
        <f>B8*D8</f>
        <v>47045</v>
      </c>
      <c r="F8" s="234"/>
      <c r="G8" s="223"/>
      <c r="H8" s="223"/>
      <c r="I8" s="223"/>
      <c r="J8" s="232">
        <v>1</v>
      </c>
      <c r="K8" s="241">
        <v>89.5</v>
      </c>
      <c r="L8" s="241">
        <v>104.5</v>
      </c>
      <c r="M8" s="240">
        <f>(K8+L8)*0.5</f>
        <v>97</v>
      </c>
      <c r="N8" s="242">
        <f aca="true" t="shared" si="1" ref="N8:N17">NORMDIST(L8,expmean,expstdev,TRUE)-NORMDIST(K8,expmean,expstdev,TRUE)</f>
        <v>0.0034062550713829243</v>
      </c>
      <c r="O8" s="242">
        <f aca="true" t="shared" si="2" ref="O8:O17">N8*obsn</f>
        <v>8.720012982740286</v>
      </c>
      <c r="P8" s="236"/>
      <c r="Q8" s="243" t="s">
        <v>253</v>
      </c>
      <c r="R8" s="224"/>
      <c r="S8" s="224"/>
      <c r="T8" s="224"/>
      <c r="V8" s="202">
        <v>1</v>
      </c>
      <c r="W8" s="240">
        <f>AF8</f>
        <v>50</v>
      </c>
      <c r="X8" s="241">
        <v>100</v>
      </c>
      <c r="Y8" s="240">
        <f>W8*X8</f>
        <v>5000</v>
      </c>
      <c r="Z8" s="240">
        <f>W8*Y8</f>
        <v>250000</v>
      </c>
      <c r="AA8" s="234"/>
      <c r="AB8" s="278"/>
      <c r="AC8" s="232">
        <v>1</v>
      </c>
      <c r="AD8" s="241">
        <v>30</v>
      </c>
      <c r="AE8" s="241">
        <v>70</v>
      </c>
      <c r="AF8" s="240">
        <f>(AD8+AE8)*0.5</f>
        <v>50</v>
      </c>
      <c r="AG8" s="242">
        <f>NORMDIST(AE8,AH3,AH4,TRUE)-NORMDIST(AD8,AH3,AH4,TRUE)</f>
        <v>0.11375370901822646</v>
      </c>
      <c r="AH8" s="242">
        <f>AG8*W15</f>
        <v>91.00296721458116</v>
      </c>
      <c r="AI8" s="210"/>
    </row>
    <row r="9" spans="1:35" ht="12.75">
      <c r="A9" s="229">
        <v>2</v>
      </c>
      <c r="B9" s="240">
        <f t="shared" si="0"/>
        <v>112</v>
      </c>
      <c r="C9" s="241">
        <f>COMBIN(9,1)*5</f>
        <v>45</v>
      </c>
      <c r="D9" s="240">
        <f>B9*C9</f>
        <v>5040</v>
      </c>
      <c r="E9" s="240">
        <f>B9*D9</f>
        <v>564480</v>
      </c>
      <c r="F9" s="234"/>
      <c r="G9" s="223"/>
      <c r="H9" s="223"/>
      <c r="I9" s="223"/>
      <c r="J9" s="232">
        <v>2</v>
      </c>
      <c r="K9" s="241">
        <f aca="true" t="shared" si="3" ref="K9:K17">K8+15</f>
        <v>104.5</v>
      </c>
      <c r="L9" s="241">
        <f aca="true" t="shared" si="4" ref="L9:L17">L8+15</f>
        <v>119.5</v>
      </c>
      <c r="M9" s="240">
        <f aca="true" t="shared" si="5" ref="M9:M17">(K9+L9)*0.5</f>
        <v>112</v>
      </c>
      <c r="N9" s="242">
        <f t="shared" si="1"/>
        <v>0.018934911790076003</v>
      </c>
      <c r="O9" s="242">
        <f t="shared" si="2"/>
        <v>48.47337418259457</v>
      </c>
      <c r="P9" s="236"/>
      <c r="Q9" s="236"/>
      <c r="R9" s="224"/>
      <c r="S9" s="224"/>
      <c r="T9" s="224"/>
      <c r="V9" s="202">
        <v>2</v>
      </c>
      <c r="W9" s="240">
        <f>AF9</f>
        <v>90</v>
      </c>
      <c r="X9" s="241">
        <v>300</v>
      </c>
      <c r="Y9" s="240">
        <f>W9*X9</f>
        <v>27000</v>
      </c>
      <c r="Z9" s="240">
        <f>W9*Y9</f>
        <v>2430000</v>
      </c>
      <c r="AA9" s="234"/>
      <c r="AB9" s="278"/>
      <c r="AC9" s="232">
        <v>2</v>
      </c>
      <c r="AD9" s="241">
        <v>70</v>
      </c>
      <c r="AE9" s="241">
        <v>110</v>
      </c>
      <c r="AF9" s="240">
        <f>(AD9+AE9)*0.5</f>
        <v>90</v>
      </c>
      <c r="AG9" s="242">
        <f>NORMDIST(AE9,AH3,AH4,TRUE)-NORMDIST(AD9,AH3,AH4,TRUE)</f>
        <v>0.3757455338063841</v>
      </c>
      <c r="AH9" s="242">
        <f>AG9*W15</f>
        <v>300.59642704510725</v>
      </c>
      <c r="AI9" s="210"/>
    </row>
    <row r="10" spans="1:35" ht="12.75">
      <c r="A10" s="229">
        <v>3</v>
      </c>
      <c r="B10" s="240">
        <f t="shared" si="0"/>
        <v>127</v>
      </c>
      <c r="C10" s="241">
        <f>COMBIN(9,2)*5</f>
        <v>180</v>
      </c>
      <c r="D10" s="240">
        <f aca="true" t="shared" si="6" ref="D10:D17">B10*C10</f>
        <v>22860</v>
      </c>
      <c r="E10" s="240">
        <f aca="true" t="shared" si="7" ref="E10:E17">B10*D10</f>
        <v>2903220</v>
      </c>
      <c r="F10" s="234"/>
      <c r="G10" s="233"/>
      <c r="H10" s="234"/>
      <c r="I10" s="223"/>
      <c r="J10" s="232">
        <v>3</v>
      </c>
      <c r="K10" s="241">
        <f t="shared" si="3"/>
        <v>119.5</v>
      </c>
      <c r="L10" s="241">
        <f t="shared" si="4"/>
        <v>134.5</v>
      </c>
      <c r="M10" s="240">
        <f t="shared" si="5"/>
        <v>127</v>
      </c>
      <c r="N10" s="242">
        <f t="shared" si="1"/>
        <v>0.06848270980048798</v>
      </c>
      <c r="O10" s="242">
        <f t="shared" si="2"/>
        <v>175.31573708924924</v>
      </c>
      <c r="P10" s="236"/>
      <c r="Q10" s="236"/>
      <c r="R10" s="224"/>
      <c r="S10" s="224"/>
      <c r="T10" s="224"/>
      <c r="V10" s="202">
        <v>3</v>
      </c>
      <c r="W10" s="240">
        <f>AF10</f>
        <v>130</v>
      </c>
      <c r="X10" s="241">
        <v>300</v>
      </c>
      <c r="Y10" s="240">
        <f>W10*X10</f>
        <v>39000</v>
      </c>
      <c r="Z10" s="240">
        <f>W10*Y10</f>
        <v>5070000</v>
      </c>
      <c r="AA10" s="234"/>
      <c r="AB10" s="278"/>
      <c r="AC10" s="232">
        <v>3</v>
      </c>
      <c r="AD10" s="241">
        <v>110</v>
      </c>
      <c r="AE10" s="241">
        <v>150</v>
      </c>
      <c r="AF10" s="240">
        <f>(AD10+AE10)*0.5</f>
        <v>130</v>
      </c>
      <c r="AG10" s="242">
        <f>NORMDIST(AE10,AH3,AH4,TRUE)-NORMDIST(AD10,AH3,AH4,TRUE)</f>
        <v>0.3757455338063841</v>
      </c>
      <c r="AH10" s="242">
        <f>AG10*W15</f>
        <v>300.59642704510725</v>
      </c>
      <c r="AI10" s="210"/>
    </row>
    <row r="11" spans="1:35" ht="12.75">
      <c r="A11" s="229">
        <v>4</v>
      </c>
      <c r="B11" s="240">
        <f t="shared" si="0"/>
        <v>142</v>
      </c>
      <c r="C11" s="241">
        <f>COMBIN(9,3)*5</f>
        <v>419.99999999999994</v>
      </c>
      <c r="D11" s="240">
        <f t="shared" si="6"/>
        <v>59639.99999999999</v>
      </c>
      <c r="E11" s="240">
        <f t="shared" si="7"/>
        <v>8468879.999999998</v>
      </c>
      <c r="F11" s="234"/>
      <c r="G11" s="233"/>
      <c r="H11" s="234"/>
      <c r="I11" s="223"/>
      <c r="J11" s="232">
        <v>4</v>
      </c>
      <c r="K11" s="241">
        <f t="shared" si="3"/>
        <v>134.5</v>
      </c>
      <c r="L11" s="241">
        <f t="shared" si="4"/>
        <v>149.5</v>
      </c>
      <c r="M11" s="240">
        <f t="shared" si="5"/>
        <v>142</v>
      </c>
      <c r="N11" s="242">
        <f t="shared" si="1"/>
        <v>0.16128019593616827</v>
      </c>
      <c r="O11" s="242">
        <f t="shared" si="2"/>
        <v>412.87730159659077</v>
      </c>
      <c r="P11" s="236"/>
      <c r="Q11" s="236"/>
      <c r="R11" s="224"/>
      <c r="S11" s="224"/>
      <c r="T11" s="224"/>
      <c r="V11" s="202">
        <v>4</v>
      </c>
      <c r="W11" s="240">
        <f>AF11</f>
        <v>170</v>
      </c>
      <c r="X11" s="241">
        <v>100</v>
      </c>
      <c r="Y11" s="240">
        <f>W11*X11</f>
        <v>17000</v>
      </c>
      <c r="Z11" s="240">
        <f>W11*Y11</f>
        <v>2890000</v>
      </c>
      <c r="AA11" s="234"/>
      <c r="AB11" s="278"/>
      <c r="AC11" s="232">
        <v>4</v>
      </c>
      <c r="AD11" s="241">
        <v>150</v>
      </c>
      <c r="AE11" s="241">
        <v>190</v>
      </c>
      <c r="AF11" s="240">
        <f>(AD11+AE11)*0.5</f>
        <v>170</v>
      </c>
      <c r="AG11" s="242">
        <f>NORMDIST(AE11,AH3,AH4,TRUE)-NORMDIST(AD11,AH3,AH4,TRUE)</f>
        <v>0.11375370901822646</v>
      </c>
      <c r="AH11" s="242">
        <f>AG11*W15</f>
        <v>91.00296721458116</v>
      </c>
      <c r="AI11" s="210"/>
    </row>
    <row r="12" spans="1:35" ht="12.75">
      <c r="A12" s="229">
        <v>5</v>
      </c>
      <c r="B12" s="240">
        <f t="shared" si="0"/>
        <v>157</v>
      </c>
      <c r="C12" s="241">
        <f>COMBIN(9,4)*5</f>
        <v>630</v>
      </c>
      <c r="D12" s="240">
        <f t="shared" si="6"/>
        <v>98910</v>
      </c>
      <c r="E12" s="240">
        <f t="shared" si="7"/>
        <v>15528870</v>
      </c>
      <c r="F12" s="234"/>
      <c r="G12" s="233"/>
      <c r="H12" s="233"/>
      <c r="I12" s="223"/>
      <c r="J12" s="232">
        <v>5</v>
      </c>
      <c r="K12" s="241">
        <f t="shared" si="3"/>
        <v>149.5</v>
      </c>
      <c r="L12" s="241">
        <f t="shared" si="4"/>
        <v>164.5</v>
      </c>
      <c r="M12" s="240">
        <f t="shared" si="5"/>
        <v>157</v>
      </c>
      <c r="N12" s="242">
        <f t="shared" si="1"/>
        <v>0.24746586179228935</v>
      </c>
      <c r="O12" s="242">
        <f t="shared" si="2"/>
        <v>633.5126061882607</v>
      </c>
      <c r="P12" s="236"/>
      <c r="Q12" s="236"/>
      <c r="R12" s="224"/>
      <c r="S12" s="224"/>
      <c r="T12" s="224"/>
      <c r="V12" s="215"/>
      <c r="W12" s="229" t="s">
        <v>39</v>
      </c>
      <c r="X12" s="244" t="s">
        <v>240</v>
      </c>
      <c r="Y12" s="240">
        <f>SUM(Y8:Y11)</f>
        <v>88000</v>
      </c>
      <c r="Z12" s="223"/>
      <c r="AA12" s="233"/>
      <c r="AB12" s="277"/>
      <c r="AC12" s="224"/>
      <c r="AD12" s="235"/>
      <c r="AE12" s="245"/>
      <c r="AF12" s="235"/>
      <c r="AG12" s="245"/>
      <c r="AH12" s="236"/>
      <c r="AI12" s="217"/>
    </row>
    <row r="13" spans="1:28" ht="12.75">
      <c r="A13" s="229">
        <v>6</v>
      </c>
      <c r="B13" s="240">
        <f t="shared" si="0"/>
        <v>172</v>
      </c>
      <c r="C13" s="241">
        <f>COMBIN(9,5)*5</f>
        <v>630</v>
      </c>
      <c r="D13" s="240">
        <f t="shared" si="6"/>
        <v>108360</v>
      </c>
      <c r="E13" s="240">
        <f t="shared" si="7"/>
        <v>18637920</v>
      </c>
      <c r="F13" s="234"/>
      <c r="G13" s="233"/>
      <c r="H13" s="233"/>
      <c r="I13" s="223"/>
      <c r="J13" s="232">
        <v>6</v>
      </c>
      <c r="K13" s="241">
        <f t="shared" si="3"/>
        <v>164.5</v>
      </c>
      <c r="L13" s="241">
        <f t="shared" si="4"/>
        <v>179.5</v>
      </c>
      <c r="M13" s="240">
        <f t="shared" si="5"/>
        <v>172</v>
      </c>
      <c r="N13" s="242">
        <f t="shared" si="1"/>
        <v>0.24746586179228935</v>
      </c>
      <c r="O13" s="242">
        <f t="shared" si="2"/>
        <v>633.5126061882607</v>
      </c>
      <c r="P13" s="236"/>
      <c r="Q13" s="236"/>
      <c r="R13" s="224"/>
      <c r="S13" s="224"/>
      <c r="T13" s="224"/>
      <c r="V13" s="215"/>
      <c r="W13" s="240">
        <f>SUM(Y8:Y11)/SUM(X8:X11)</f>
        <v>110</v>
      </c>
      <c r="X13" s="244" t="s">
        <v>273</v>
      </c>
      <c r="Y13" s="240">
        <f>Y12*Y12</f>
        <v>7744000000</v>
      </c>
      <c r="Z13" s="223"/>
      <c r="AA13" s="233"/>
      <c r="AB13" s="277"/>
    </row>
    <row r="14" spans="1:35" ht="12.75">
      <c r="A14" s="229">
        <v>7</v>
      </c>
      <c r="B14" s="240">
        <f t="shared" si="0"/>
        <v>187</v>
      </c>
      <c r="C14" s="241">
        <f>COMBIN(9,6)*5</f>
        <v>419.99999999999994</v>
      </c>
      <c r="D14" s="240">
        <f t="shared" si="6"/>
        <v>78539.99999999999</v>
      </c>
      <c r="E14" s="240">
        <f t="shared" si="7"/>
        <v>14686979.999999998</v>
      </c>
      <c r="F14" s="234"/>
      <c r="G14" s="223"/>
      <c r="H14" s="223"/>
      <c r="I14" s="223"/>
      <c r="J14" s="232">
        <v>7</v>
      </c>
      <c r="K14" s="241">
        <f t="shared" si="3"/>
        <v>179.5</v>
      </c>
      <c r="L14" s="241">
        <f t="shared" si="4"/>
        <v>194.5</v>
      </c>
      <c r="M14" s="240">
        <f t="shared" si="5"/>
        <v>187</v>
      </c>
      <c r="N14" s="242">
        <f t="shared" si="1"/>
        <v>0.16128019593616827</v>
      </c>
      <c r="O14" s="242">
        <f t="shared" si="2"/>
        <v>412.87730159659077</v>
      </c>
      <c r="P14" s="236"/>
      <c r="Q14" s="236"/>
      <c r="R14" s="224"/>
      <c r="S14" s="224"/>
      <c r="T14" s="224"/>
      <c r="V14" s="202"/>
      <c r="W14" s="223"/>
      <c r="X14" s="223"/>
      <c r="Y14" s="244" t="s">
        <v>241</v>
      </c>
      <c r="Z14" s="240">
        <f>SUM(Z8:Z11)</f>
        <v>10640000</v>
      </c>
      <c r="AA14" s="223"/>
      <c r="AB14" s="276"/>
      <c r="AC14" s="251"/>
      <c r="AD14" s="171" t="s">
        <v>216</v>
      </c>
      <c r="AE14" s="171" t="s">
        <v>217</v>
      </c>
      <c r="AF14" s="275" t="s">
        <v>218</v>
      </c>
      <c r="AG14" s="275" t="s">
        <v>219</v>
      </c>
      <c r="AH14" s="275" t="s">
        <v>220</v>
      </c>
      <c r="AI14" s="219"/>
    </row>
    <row r="15" spans="1:35" ht="12.75">
      <c r="A15" s="229">
        <v>8</v>
      </c>
      <c r="B15" s="240">
        <f t="shared" si="0"/>
        <v>202</v>
      </c>
      <c r="C15" s="241">
        <f>COMBIN(9,7)*5</f>
        <v>180</v>
      </c>
      <c r="D15" s="240">
        <f t="shared" si="6"/>
        <v>36360</v>
      </c>
      <c r="E15" s="240">
        <f t="shared" si="7"/>
        <v>7344720</v>
      </c>
      <c r="F15" s="234"/>
      <c r="G15" s="223"/>
      <c r="H15" s="223"/>
      <c r="I15" s="223"/>
      <c r="J15" s="232">
        <v>8</v>
      </c>
      <c r="K15" s="241">
        <f t="shared" si="3"/>
        <v>194.5</v>
      </c>
      <c r="L15" s="241">
        <f t="shared" si="4"/>
        <v>209.5</v>
      </c>
      <c r="M15" s="240">
        <f t="shared" si="5"/>
        <v>202</v>
      </c>
      <c r="N15" s="242">
        <f t="shared" si="1"/>
        <v>0.06848270980048798</v>
      </c>
      <c r="O15" s="242">
        <f t="shared" si="2"/>
        <v>175.31573708924924</v>
      </c>
      <c r="P15" s="236"/>
      <c r="Q15" s="236"/>
      <c r="R15" s="224"/>
      <c r="S15" s="224"/>
      <c r="T15" s="224"/>
      <c r="V15" s="202"/>
      <c r="W15" s="240">
        <f>SUM(X8:X11)</f>
        <v>800</v>
      </c>
      <c r="X15" s="253" t="s">
        <v>278</v>
      </c>
      <c r="Y15" s="229"/>
      <c r="Z15" s="223"/>
      <c r="AA15" s="223"/>
      <c r="AB15" s="276"/>
      <c r="AC15" s="246">
        <v>1</v>
      </c>
      <c r="AD15" s="240">
        <f>X8</f>
        <v>100</v>
      </c>
      <c r="AE15" s="254">
        <f>AH8</f>
        <v>91.00296721458116</v>
      </c>
      <c r="AF15" s="255">
        <f>AD15-AE15</f>
        <v>8.997032785418838</v>
      </c>
      <c r="AG15" s="256">
        <f>AF15*AF15</f>
        <v>80.94659894190146</v>
      </c>
      <c r="AH15" s="256">
        <f>AG15/AE15</f>
        <v>0.8894940617818844</v>
      </c>
      <c r="AI15" s="220"/>
    </row>
    <row r="16" spans="1:35" ht="12.75">
      <c r="A16" s="229">
        <v>9</v>
      </c>
      <c r="B16" s="240">
        <f t="shared" si="0"/>
        <v>217</v>
      </c>
      <c r="C16" s="241">
        <f>COMBIN(9,8)*5</f>
        <v>45</v>
      </c>
      <c r="D16" s="240">
        <f t="shared" si="6"/>
        <v>9765</v>
      </c>
      <c r="E16" s="240">
        <f t="shared" si="7"/>
        <v>2119005</v>
      </c>
      <c r="F16" s="234"/>
      <c r="G16" s="223"/>
      <c r="H16" s="223"/>
      <c r="I16" s="223"/>
      <c r="J16" s="232">
        <v>9</v>
      </c>
      <c r="K16" s="241">
        <f t="shared" si="3"/>
        <v>209.5</v>
      </c>
      <c r="L16" s="241">
        <f t="shared" si="4"/>
        <v>224.5</v>
      </c>
      <c r="M16" s="240">
        <f t="shared" si="5"/>
        <v>217</v>
      </c>
      <c r="N16" s="242">
        <f t="shared" si="1"/>
        <v>0.018934911790076003</v>
      </c>
      <c r="O16" s="242">
        <f t="shared" si="2"/>
        <v>48.47337418259457</v>
      </c>
      <c r="P16" s="236"/>
      <c r="Q16" s="236"/>
      <c r="R16" s="224"/>
      <c r="S16" s="224"/>
      <c r="T16" s="224"/>
      <c r="V16" s="215"/>
      <c r="W16" s="240">
        <f>W15-1</f>
        <v>799</v>
      </c>
      <c r="X16" s="253" t="s">
        <v>243</v>
      </c>
      <c r="Y16" s="229"/>
      <c r="Z16" s="223"/>
      <c r="AA16" s="223"/>
      <c r="AB16" s="276"/>
      <c r="AC16" s="246">
        <v>2</v>
      </c>
      <c r="AD16" s="240">
        <f>X9</f>
        <v>300</v>
      </c>
      <c r="AE16" s="254">
        <f>AH9</f>
        <v>300.59642704510725</v>
      </c>
      <c r="AF16" s="255">
        <f>AD16-AE16</f>
        <v>-0.596427045107248</v>
      </c>
      <c r="AG16" s="256">
        <f>AF16*AF16</f>
        <v>0.35572522013536323</v>
      </c>
      <c r="AH16" s="256">
        <f>AG16/AE16</f>
        <v>0.0011833980318135431</v>
      </c>
      <c r="AI16" s="220"/>
    </row>
    <row r="17" spans="1:35" ht="12.75">
      <c r="A17" s="229">
        <v>10</v>
      </c>
      <c r="B17" s="240">
        <f t="shared" si="0"/>
        <v>232</v>
      </c>
      <c r="C17" s="241">
        <f>COMBIN(9,9)*5</f>
        <v>5</v>
      </c>
      <c r="D17" s="240">
        <f t="shared" si="6"/>
        <v>1160</v>
      </c>
      <c r="E17" s="240">
        <f t="shared" si="7"/>
        <v>269120</v>
      </c>
      <c r="F17" s="234"/>
      <c r="G17" s="223"/>
      <c r="H17" s="223"/>
      <c r="I17" s="223"/>
      <c r="J17" s="232">
        <v>10</v>
      </c>
      <c r="K17" s="241">
        <f t="shared" si="3"/>
        <v>224.5</v>
      </c>
      <c r="L17" s="241">
        <f t="shared" si="4"/>
        <v>239.5</v>
      </c>
      <c r="M17" s="240">
        <f t="shared" si="5"/>
        <v>232</v>
      </c>
      <c r="N17" s="242">
        <f t="shared" si="1"/>
        <v>0.0034062550713829243</v>
      </c>
      <c r="O17" s="242">
        <f t="shared" si="2"/>
        <v>8.720012982740286</v>
      </c>
      <c r="P17" s="236"/>
      <c r="Q17" s="236"/>
      <c r="R17" s="224"/>
      <c r="S17" s="224"/>
      <c r="T17" s="224"/>
      <c r="V17" s="215"/>
      <c r="W17" s="223"/>
      <c r="X17" s="223"/>
      <c r="Y17" s="229"/>
      <c r="Z17" s="223"/>
      <c r="AA17" s="223"/>
      <c r="AB17" s="276"/>
      <c r="AC17" s="246">
        <v>3</v>
      </c>
      <c r="AD17" s="240">
        <f>X10</f>
        <v>300</v>
      </c>
      <c r="AE17" s="254">
        <f>AH10</f>
        <v>300.59642704510725</v>
      </c>
      <c r="AF17" s="255">
        <f>AD17-AE17</f>
        <v>-0.596427045107248</v>
      </c>
      <c r="AG17" s="256">
        <f>AF17*AF17</f>
        <v>0.35572522013536323</v>
      </c>
      <c r="AH17" s="256">
        <f>AG17/AE17</f>
        <v>0.0011833980318135431</v>
      </c>
      <c r="AI17" s="220"/>
    </row>
    <row r="18" spans="1:35" ht="13.5" thickBot="1">
      <c r="A18" s="223"/>
      <c r="B18" s="223"/>
      <c r="C18" s="244" t="s">
        <v>240</v>
      </c>
      <c r="D18" s="240">
        <f>SUM(D8:D17)</f>
        <v>421120</v>
      </c>
      <c r="E18" s="223"/>
      <c r="F18" s="233"/>
      <c r="G18" s="223"/>
      <c r="H18" s="223"/>
      <c r="I18" s="223"/>
      <c r="J18" s="224"/>
      <c r="K18" s="235"/>
      <c r="L18" s="245"/>
      <c r="M18" s="235"/>
      <c r="N18" s="245"/>
      <c r="O18" s="236"/>
      <c r="P18" s="235"/>
      <c r="Q18" s="235"/>
      <c r="R18" s="235"/>
      <c r="S18" s="224"/>
      <c r="T18" s="224"/>
      <c r="V18" s="270"/>
      <c r="W18" s="257">
        <f>W15*Z14-Y13</f>
        <v>768000000</v>
      </c>
      <c r="X18" s="258" t="s">
        <v>286</v>
      </c>
      <c r="Y18" s="259"/>
      <c r="Z18" s="223"/>
      <c r="AA18" s="223"/>
      <c r="AB18" s="276"/>
      <c r="AC18" s="246">
        <v>4</v>
      </c>
      <c r="AD18" s="260">
        <f>X11</f>
        <v>100</v>
      </c>
      <c r="AE18" s="254">
        <f>AH11</f>
        <v>91.00296721458116</v>
      </c>
      <c r="AF18" s="255">
        <f>AD18-AE18</f>
        <v>8.997032785418838</v>
      </c>
      <c r="AG18" s="256">
        <f>AF18*AF18</f>
        <v>80.94659894190146</v>
      </c>
      <c r="AH18" s="256">
        <f>AG18/AE18</f>
        <v>0.8894940617818844</v>
      </c>
      <c r="AI18" s="220"/>
    </row>
    <row r="19" spans="1:35" ht="12.75">
      <c r="A19" s="223"/>
      <c r="B19" s="229" t="s">
        <v>39</v>
      </c>
      <c r="C19" s="244" t="s">
        <v>273</v>
      </c>
      <c r="D19" s="240">
        <f>D18*D18</f>
        <v>177342054400</v>
      </c>
      <c r="E19" s="223"/>
      <c r="F19" s="233"/>
      <c r="G19" s="223"/>
      <c r="H19" s="223"/>
      <c r="I19" s="223"/>
      <c r="J19" s="246"/>
      <c r="K19" s="247"/>
      <c r="L19" s="248"/>
      <c r="M19" s="247"/>
      <c r="N19" s="248"/>
      <c r="O19" s="249"/>
      <c r="P19" s="247"/>
      <c r="Q19" s="248"/>
      <c r="R19" s="248"/>
      <c r="S19" s="250"/>
      <c r="T19" s="250"/>
      <c r="V19" s="215"/>
      <c r="W19" s="262">
        <f>W15*W16</f>
        <v>639200</v>
      </c>
      <c r="X19" s="253" t="s">
        <v>287</v>
      </c>
      <c r="Y19" s="229"/>
      <c r="Z19" s="223"/>
      <c r="AA19" s="223"/>
      <c r="AB19" s="276"/>
      <c r="AC19" s="246"/>
      <c r="AD19" s="246"/>
      <c r="AE19" s="250"/>
      <c r="AF19" s="250"/>
      <c r="AG19" s="250"/>
      <c r="AH19" s="250"/>
      <c r="AI19" s="219"/>
    </row>
    <row r="20" spans="1:35" ht="12.75">
      <c r="A20" s="229"/>
      <c r="B20" s="240">
        <f>SUM(D8:D17)/SUM(C8:C17)</f>
        <v>164.5</v>
      </c>
      <c r="C20" s="223"/>
      <c r="D20" s="244" t="s">
        <v>241</v>
      </c>
      <c r="E20" s="240">
        <f>SUM(E8:E17)</f>
        <v>70570240</v>
      </c>
      <c r="F20" s="223"/>
      <c r="G20" s="223"/>
      <c r="H20" s="223"/>
      <c r="I20" s="223"/>
      <c r="J20" s="246"/>
      <c r="K20" s="246"/>
      <c r="L20" s="246"/>
      <c r="M20" s="246"/>
      <c r="N20" s="246"/>
      <c r="O20" s="248"/>
      <c r="P20" s="248"/>
      <c r="Q20" s="248"/>
      <c r="R20" s="250"/>
      <c r="S20" s="250"/>
      <c r="T20" s="250"/>
      <c r="V20" s="223"/>
      <c r="W20" s="223"/>
      <c r="X20" s="223"/>
      <c r="Y20" s="223"/>
      <c r="Z20" s="223"/>
      <c r="AA20" s="223"/>
      <c r="AB20" s="276"/>
      <c r="AC20" s="246"/>
      <c r="AD20" s="266" t="s">
        <v>224</v>
      </c>
      <c r="AE20" s="250"/>
      <c r="AF20" s="250"/>
      <c r="AG20" s="28" t="s">
        <v>221</v>
      </c>
      <c r="AH20" s="256">
        <f>SUM(AH15:AH18)</f>
        <v>1.781354919627396</v>
      </c>
      <c r="AI20" s="222"/>
    </row>
    <row r="21" spans="1:35" ht="12.75">
      <c r="A21" s="229"/>
      <c r="B21" s="229"/>
      <c r="C21" s="229"/>
      <c r="D21" s="229"/>
      <c r="E21" s="223"/>
      <c r="F21" s="223"/>
      <c r="G21" s="223"/>
      <c r="H21" s="223"/>
      <c r="I21" s="223"/>
      <c r="J21" s="250"/>
      <c r="K21" s="251"/>
      <c r="L21" s="252" t="s">
        <v>216</v>
      </c>
      <c r="M21" s="252" t="s">
        <v>217</v>
      </c>
      <c r="N21" s="28" t="s">
        <v>218</v>
      </c>
      <c r="O21" s="28" t="s">
        <v>219</v>
      </c>
      <c r="P21" s="28" t="s">
        <v>220</v>
      </c>
      <c r="Q21" s="248"/>
      <c r="R21" s="250"/>
      <c r="S21" s="250"/>
      <c r="T21" s="250"/>
      <c r="V21" s="215"/>
      <c r="W21" s="240">
        <f>W18/W19</f>
        <v>1201.5018773466834</v>
      </c>
      <c r="X21" s="253" t="s">
        <v>290</v>
      </c>
      <c r="Y21" s="229"/>
      <c r="Z21" s="223"/>
      <c r="AA21" s="223"/>
      <c r="AB21" s="276"/>
      <c r="AC21" s="246"/>
      <c r="AD21" s="267">
        <v>3</v>
      </c>
      <c r="AE21" s="250"/>
      <c r="AF21" s="250"/>
      <c r="AG21" s="250"/>
      <c r="AH21" s="250"/>
      <c r="AI21" s="222"/>
    </row>
    <row r="22" spans="1:35" ht="12.75">
      <c r="A22" s="223"/>
      <c r="B22" s="240">
        <f>SUM(C8:C17)</f>
        <v>2560</v>
      </c>
      <c r="C22" s="253" t="s">
        <v>254</v>
      </c>
      <c r="D22" s="229"/>
      <c r="E22" s="223"/>
      <c r="F22" s="223"/>
      <c r="G22" s="223"/>
      <c r="H22" s="223"/>
      <c r="I22" s="223"/>
      <c r="J22" s="250"/>
      <c r="K22" s="246">
        <v>1</v>
      </c>
      <c r="L22" s="240">
        <f aca="true" t="shared" si="8" ref="L22:L31">C8</f>
        <v>5</v>
      </c>
      <c r="M22" s="254">
        <f aca="true" t="shared" si="9" ref="M22:M31">O8</f>
        <v>8.720012982740286</v>
      </c>
      <c r="N22" s="255">
        <f aca="true" t="shared" si="10" ref="N22:N31">L22-M22</f>
        <v>-3.720012982740286</v>
      </c>
      <c r="O22" s="256">
        <f aca="true" t="shared" si="11" ref="O22:O31">N22*N22</f>
        <v>13.83849659175628</v>
      </c>
      <c r="P22" s="256">
        <f aca="true" t="shared" si="12" ref="P22:P31">O22/M22</f>
        <v>1.586981191329316</v>
      </c>
      <c r="Q22" s="250"/>
      <c r="R22" s="250" t="s">
        <v>263</v>
      </c>
      <c r="S22" s="250"/>
      <c r="T22" s="250"/>
      <c r="V22" s="215"/>
      <c r="W22" s="234"/>
      <c r="X22" s="253"/>
      <c r="Y22" s="229" t="s">
        <v>291</v>
      </c>
      <c r="Z22" s="223"/>
      <c r="AA22" s="223"/>
      <c r="AB22" s="276"/>
      <c r="AC22" s="246"/>
      <c r="AD22" s="250"/>
      <c r="AE22" s="250" t="s">
        <v>279</v>
      </c>
      <c r="AF22" s="250"/>
      <c r="AG22" s="250"/>
      <c r="AH22" s="250"/>
      <c r="AI22" s="220"/>
    </row>
    <row r="23" spans="1:35" ht="12.75">
      <c r="A23" s="223"/>
      <c r="B23" s="240">
        <f>B22-1</f>
        <v>2559</v>
      </c>
      <c r="C23" s="253" t="s">
        <v>243</v>
      </c>
      <c r="D23" s="229"/>
      <c r="E23" s="223"/>
      <c r="F23" s="223"/>
      <c r="G23" s="223"/>
      <c r="H23" s="223"/>
      <c r="I23" s="223"/>
      <c r="J23" s="250"/>
      <c r="K23" s="246">
        <v>2</v>
      </c>
      <c r="L23" s="240">
        <f t="shared" si="8"/>
        <v>45</v>
      </c>
      <c r="M23" s="254">
        <f t="shared" si="9"/>
        <v>48.47337418259457</v>
      </c>
      <c r="N23" s="255">
        <f t="shared" si="10"/>
        <v>-3.4733741825945685</v>
      </c>
      <c r="O23" s="256">
        <f t="shared" si="11"/>
        <v>12.064328212314487</v>
      </c>
      <c r="P23" s="256">
        <f t="shared" si="12"/>
        <v>0.2488856700354573</v>
      </c>
      <c r="Q23" s="250"/>
      <c r="R23" s="250"/>
      <c r="S23" s="250" t="s">
        <v>262</v>
      </c>
      <c r="T23" s="250"/>
      <c r="V23" s="215"/>
      <c r="W23" s="240">
        <f>SQRT(W21)</f>
        <v>34.66268710510891</v>
      </c>
      <c r="X23" s="253" t="s">
        <v>292</v>
      </c>
      <c r="Y23" s="229"/>
      <c r="Z23" s="223"/>
      <c r="AA23" s="223"/>
      <c r="AB23" s="276"/>
      <c r="AC23" s="246"/>
      <c r="AD23" s="250"/>
      <c r="AE23" s="250"/>
      <c r="AF23" s="250" t="s">
        <v>262</v>
      </c>
      <c r="AG23" s="250"/>
      <c r="AH23" s="250"/>
      <c r="AI23" s="220"/>
    </row>
    <row r="24" spans="1:35" ht="14.25">
      <c r="A24" s="223"/>
      <c r="B24" s="229"/>
      <c r="C24" s="253"/>
      <c r="D24" s="229"/>
      <c r="E24" s="223"/>
      <c r="F24" s="223"/>
      <c r="G24" s="223"/>
      <c r="H24" s="223"/>
      <c r="I24" s="223"/>
      <c r="J24" s="250"/>
      <c r="K24" s="246">
        <v>3</v>
      </c>
      <c r="L24" s="240">
        <f t="shared" si="8"/>
        <v>180</v>
      </c>
      <c r="M24" s="254">
        <f t="shared" si="9"/>
        <v>175.31573708924924</v>
      </c>
      <c r="N24" s="255">
        <f t="shared" si="10"/>
        <v>4.6842629107507605</v>
      </c>
      <c r="O24" s="256">
        <f t="shared" si="11"/>
        <v>21.94231901703519</v>
      </c>
      <c r="P24" s="256">
        <f t="shared" si="12"/>
        <v>0.12515886697532952</v>
      </c>
      <c r="Q24" s="248"/>
      <c r="R24" s="248" t="s">
        <v>274</v>
      </c>
      <c r="S24" s="250"/>
      <c r="T24" s="250"/>
      <c r="V24" s="215"/>
      <c r="W24" s="229"/>
      <c r="X24" s="229"/>
      <c r="Y24" s="229" t="s">
        <v>293</v>
      </c>
      <c r="Z24" s="223"/>
      <c r="AA24" s="223"/>
      <c r="AB24" s="276"/>
      <c r="AC24" s="246"/>
      <c r="AD24" s="220"/>
      <c r="AE24" s="248" t="s">
        <v>274</v>
      </c>
      <c r="AF24" s="250"/>
      <c r="AG24" s="250"/>
      <c r="AH24" s="250"/>
      <c r="AI24" s="220"/>
    </row>
    <row r="25" spans="1:35" ht="16.5" thickBot="1">
      <c r="A25" s="223"/>
      <c r="B25" s="257">
        <f>B22*E20-D19</f>
        <v>3317760000</v>
      </c>
      <c r="C25" s="258" t="s">
        <v>275</v>
      </c>
      <c r="D25" s="259"/>
      <c r="E25" s="223"/>
      <c r="F25" s="223"/>
      <c r="G25" s="223"/>
      <c r="H25" s="223"/>
      <c r="I25" s="223"/>
      <c r="J25" s="250"/>
      <c r="K25" s="246">
        <v>4</v>
      </c>
      <c r="L25" s="260">
        <f t="shared" si="8"/>
        <v>419.99999999999994</v>
      </c>
      <c r="M25" s="261">
        <f t="shared" si="9"/>
        <v>412.87730159659077</v>
      </c>
      <c r="N25" s="255">
        <f t="shared" si="10"/>
        <v>7.122698403409174</v>
      </c>
      <c r="O25" s="256">
        <f t="shared" si="11"/>
        <v>50.7328325459276</v>
      </c>
      <c r="P25" s="256">
        <f t="shared" si="12"/>
        <v>0.1228762936343181</v>
      </c>
      <c r="Q25" s="248"/>
      <c r="R25" s="250" t="s">
        <v>276</v>
      </c>
      <c r="S25" s="250"/>
      <c r="T25" s="250"/>
      <c r="V25" s="202"/>
      <c r="W25" s="229"/>
      <c r="X25" s="229"/>
      <c r="Y25" s="229"/>
      <c r="Z25" s="223"/>
      <c r="AA25" s="223"/>
      <c r="AB25" s="276"/>
      <c r="AC25" s="246"/>
      <c r="AD25" s="220"/>
      <c r="AE25" s="250" t="s">
        <v>276</v>
      </c>
      <c r="AF25" s="250"/>
      <c r="AG25" s="250"/>
      <c r="AH25" s="250"/>
      <c r="AI25" s="220"/>
    </row>
    <row r="26" spans="1:35" ht="12.75">
      <c r="A26" s="223"/>
      <c r="B26" s="262">
        <f>B22*B23</f>
        <v>6551040</v>
      </c>
      <c r="C26" s="253" t="s">
        <v>233</v>
      </c>
      <c r="D26" s="229"/>
      <c r="E26" s="223"/>
      <c r="F26" s="223"/>
      <c r="G26" s="223"/>
      <c r="H26" s="223"/>
      <c r="I26" s="223"/>
      <c r="J26" s="250"/>
      <c r="K26" s="246">
        <v>5</v>
      </c>
      <c r="L26" s="240">
        <f t="shared" si="8"/>
        <v>630</v>
      </c>
      <c r="M26" s="254">
        <f t="shared" si="9"/>
        <v>633.5126061882607</v>
      </c>
      <c r="N26" s="255">
        <f t="shared" si="10"/>
        <v>-3.5126061882607473</v>
      </c>
      <c r="O26" s="256">
        <f t="shared" si="11"/>
        <v>12.338402233807697</v>
      </c>
      <c r="P26" s="256">
        <f t="shared" si="12"/>
        <v>0.019476174764770343</v>
      </c>
      <c r="Q26" s="248"/>
      <c r="R26" s="250"/>
      <c r="S26" s="250"/>
      <c r="T26" s="250"/>
      <c r="V26" s="202"/>
      <c r="W26" s="229"/>
      <c r="X26" s="229"/>
      <c r="Y26" s="229"/>
      <c r="Z26" s="223"/>
      <c r="AA26" s="223"/>
      <c r="AB26" s="276"/>
      <c r="AC26" s="246"/>
      <c r="AD26" s="220"/>
      <c r="AE26" s="250"/>
      <c r="AF26" s="250"/>
      <c r="AG26" s="250"/>
      <c r="AH26" s="250"/>
      <c r="AI26" s="220"/>
    </row>
    <row r="27" spans="1:35" ht="12.75">
      <c r="A27" s="223"/>
      <c r="B27" s="229"/>
      <c r="C27" s="253"/>
      <c r="D27" s="229"/>
      <c r="E27" s="223"/>
      <c r="F27" s="223"/>
      <c r="G27" s="223"/>
      <c r="H27" s="223"/>
      <c r="I27" s="223"/>
      <c r="J27" s="250"/>
      <c r="K27" s="246">
        <v>6</v>
      </c>
      <c r="L27" s="240">
        <f t="shared" si="8"/>
        <v>630</v>
      </c>
      <c r="M27" s="254">
        <f t="shared" si="9"/>
        <v>633.5126061882607</v>
      </c>
      <c r="N27" s="255">
        <f t="shared" si="10"/>
        <v>-3.5126061882607473</v>
      </c>
      <c r="O27" s="256">
        <f t="shared" si="11"/>
        <v>12.338402233807697</v>
      </c>
      <c r="P27" s="256">
        <f t="shared" si="12"/>
        <v>0.019476174764770343</v>
      </c>
      <c r="Q27" s="263" t="s">
        <v>257</v>
      </c>
      <c r="R27" s="264"/>
      <c r="S27" s="250"/>
      <c r="T27" s="250"/>
      <c r="V27" s="202"/>
      <c r="W27" s="229"/>
      <c r="X27" s="229"/>
      <c r="Y27" s="229"/>
      <c r="Z27" s="223"/>
      <c r="AA27" s="223"/>
      <c r="AB27" s="276"/>
      <c r="AC27" s="246"/>
      <c r="AD27" s="220"/>
      <c r="AE27" s="28" t="s">
        <v>222</v>
      </c>
      <c r="AF27" s="28"/>
      <c r="AG27" s="250"/>
      <c r="AH27" s="250"/>
      <c r="AI27" s="220"/>
    </row>
    <row r="28" spans="1:35" ht="12.75">
      <c r="A28" s="223"/>
      <c r="B28" s="254">
        <f>B25/B26</f>
        <v>506.44783118405627</v>
      </c>
      <c r="C28" s="253" t="s">
        <v>277</v>
      </c>
      <c r="D28" s="229"/>
      <c r="E28" s="223"/>
      <c r="F28" s="223"/>
      <c r="G28" s="223"/>
      <c r="H28" s="223"/>
      <c r="I28" s="223"/>
      <c r="J28" s="250"/>
      <c r="K28" s="246">
        <v>7</v>
      </c>
      <c r="L28" s="240">
        <f t="shared" si="8"/>
        <v>419.99999999999994</v>
      </c>
      <c r="M28" s="254">
        <f t="shared" si="9"/>
        <v>412.87730159659077</v>
      </c>
      <c r="N28" s="255">
        <f t="shared" si="10"/>
        <v>7.122698403409174</v>
      </c>
      <c r="O28" s="256">
        <f t="shared" si="11"/>
        <v>50.7328325459276</v>
      </c>
      <c r="P28" s="256">
        <f t="shared" si="12"/>
        <v>0.1228762936343181</v>
      </c>
      <c r="Q28" s="263" t="s">
        <v>255</v>
      </c>
      <c r="R28" s="264"/>
      <c r="S28" s="250"/>
      <c r="T28" s="250"/>
      <c r="V28" s="202"/>
      <c r="W28" s="229"/>
      <c r="X28" s="229"/>
      <c r="Y28" s="229"/>
      <c r="Z28" s="223"/>
      <c r="AA28" s="223"/>
      <c r="AB28" s="276"/>
      <c r="AC28" s="250"/>
      <c r="AD28" s="250"/>
      <c r="AE28" s="28" t="s">
        <v>223</v>
      </c>
      <c r="AF28" s="268">
        <f>CHIDIST(AH20,AD21)</f>
        <v>0.6190006959184109</v>
      </c>
      <c r="AG28" s="250"/>
      <c r="AH28" s="250"/>
      <c r="AI28" s="220"/>
    </row>
    <row r="29" spans="1:35" ht="12.75">
      <c r="A29" s="223"/>
      <c r="B29" s="265"/>
      <c r="C29" s="253"/>
      <c r="D29" s="229"/>
      <c r="E29" s="223"/>
      <c r="F29" s="223"/>
      <c r="G29" s="223"/>
      <c r="H29" s="223"/>
      <c r="I29" s="223"/>
      <c r="J29" s="250"/>
      <c r="K29" s="246">
        <v>8</v>
      </c>
      <c r="L29" s="240">
        <f t="shared" si="8"/>
        <v>180</v>
      </c>
      <c r="M29" s="242">
        <f t="shared" si="9"/>
        <v>175.31573708924924</v>
      </c>
      <c r="N29" s="255">
        <f t="shared" si="10"/>
        <v>4.6842629107507605</v>
      </c>
      <c r="O29" s="256">
        <f t="shared" si="11"/>
        <v>21.94231901703519</v>
      </c>
      <c r="P29" s="256">
        <f t="shared" si="12"/>
        <v>0.12515886697532952</v>
      </c>
      <c r="Q29" s="263" t="s">
        <v>256</v>
      </c>
      <c r="R29" s="264"/>
      <c r="S29" s="250"/>
      <c r="T29" s="250"/>
      <c r="V29" s="202"/>
      <c r="W29" s="223"/>
      <c r="X29" s="223"/>
      <c r="Y29" s="223"/>
      <c r="Z29" s="223"/>
      <c r="AA29" s="223"/>
      <c r="AB29" s="276"/>
      <c r="AC29" s="250"/>
      <c r="AD29" s="220"/>
      <c r="AE29" s="250"/>
      <c r="AF29" s="250"/>
      <c r="AG29" s="248"/>
      <c r="AH29" s="250"/>
      <c r="AI29" s="220"/>
    </row>
    <row r="30" spans="1:35" ht="12.75">
      <c r="A30" s="223"/>
      <c r="B30" s="254">
        <f>SQRT(B28)</f>
        <v>22.504395819129567</v>
      </c>
      <c r="C30" s="253" t="s">
        <v>231</v>
      </c>
      <c r="D30" s="229"/>
      <c r="E30" s="223"/>
      <c r="F30" s="223"/>
      <c r="G30" s="223"/>
      <c r="H30" s="223"/>
      <c r="I30" s="223"/>
      <c r="J30" s="246"/>
      <c r="K30" s="246">
        <v>9</v>
      </c>
      <c r="L30" s="240">
        <f t="shared" si="8"/>
        <v>45</v>
      </c>
      <c r="M30" s="242">
        <f t="shared" si="9"/>
        <v>48.47337418259457</v>
      </c>
      <c r="N30" s="255">
        <f t="shared" si="10"/>
        <v>-3.4733741825945685</v>
      </c>
      <c r="O30" s="256">
        <f t="shared" si="11"/>
        <v>12.064328212314487</v>
      </c>
      <c r="P30" s="256">
        <f t="shared" si="12"/>
        <v>0.2488856700354573</v>
      </c>
      <c r="Q30" s="248"/>
      <c r="R30" s="250"/>
      <c r="S30" s="250"/>
      <c r="T30" s="250"/>
      <c r="V30" s="166"/>
      <c r="W30" s="276"/>
      <c r="X30" s="276"/>
      <c r="Y30" s="276"/>
      <c r="Z30" s="276"/>
      <c r="AA30" s="276"/>
      <c r="AB30" s="276"/>
      <c r="AC30" s="276"/>
      <c r="AD30" s="276"/>
      <c r="AE30" s="166"/>
      <c r="AF30" s="166"/>
      <c r="AG30" s="166"/>
      <c r="AH30" s="166"/>
      <c r="AI30" s="166"/>
    </row>
    <row r="31" spans="1:35" ht="12.75">
      <c r="A31" s="229"/>
      <c r="B31" s="229"/>
      <c r="C31" s="229"/>
      <c r="D31" s="229"/>
      <c r="E31" s="223"/>
      <c r="F31" s="223"/>
      <c r="G31" s="223"/>
      <c r="H31" s="223"/>
      <c r="I31" s="223"/>
      <c r="J31" s="246"/>
      <c r="K31" s="246">
        <v>10</v>
      </c>
      <c r="L31" s="240">
        <f t="shared" si="8"/>
        <v>5</v>
      </c>
      <c r="M31" s="242">
        <f t="shared" si="9"/>
        <v>8.720012982740286</v>
      </c>
      <c r="N31" s="255">
        <f t="shared" si="10"/>
        <v>-3.720012982740286</v>
      </c>
      <c r="O31" s="256">
        <f t="shared" si="11"/>
        <v>13.83849659175628</v>
      </c>
      <c r="P31" s="256">
        <f t="shared" si="12"/>
        <v>1.586981191329316</v>
      </c>
      <c r="Q31" s="248"/>
      <c r="R31" s="250"/>
      <c r="S31" s="250"/>
      <c r="T31" s="250"/>
      <c r="V31" s="16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166"/>
    </row>
    <row r="32" spans="1:35" ht="12.75">
      <c r="A32" s="229"/>
      <c r="B32" s="229"/>
      <c r="C32" s="229"/>
      <c r="D32" s="229"/>
      <c r="E32" s="223"/>
      <c r="F32" s="223"/>
      <c r="G32" s="223"/>
      <c r="H32" s="223"/>
      <c r="I32" s="223"/>
      <c r="J32" s="246"/>
      <c r="K32" s="246"/>
      <c r="L32" s="246"/>
      <c r="M32" s="250"/>
      <c r="N32" s="250"/>
      <c r="O32" s="250"/>
      <c r="P32" s="250"/>
      <c r="Q32" s="250"/>
      <c r="R32" s="250"/>
      <c r="S32" s="250"/>
      <c r="T32" s="250"/>
      <c r="V32" s="166"/>
      <c r="W32" s="166"/>
      <c r="X32" s="166"/>
      <c r="Y32" s="166"/>
      <c r="Z32" s="166"/>
      <c r="AA32" s="166"/>
      <c r="AC32" s="166"/>
      <c r="AD32" s="166"/>
      <c r="AE32" s="166"/>
      <c r="AF32" s="166"/>
      <c r="AG32" s="166"/>
      <c r="AH32" s="166"/>
      <c r="AI32" s="166"/>
    </row>
    <row r="33" spans="1:35" ht="12.75">
      <c r="A33" s="229"/>
      <c r="B33" s="229"/>
      <c r="C33" s="229"/>
      <c r="D33" s="229"/>
      <c r="E33" s="223"/>
      <c r="F33" s="223"/>
      <c r="G33" s="223"/>
      <c r="H33" s="223"/>
      <c r="I33" s="223"/>
      <c r="J33" s="246"/>
      <c r="K33" s="246"/>
      <c r="L33" s="246"/>
      <c r="M33" s="250"/>
      <c r="N33" s="250"/>
      <c r="O33" s="28" t="s">
        <v>221</v>
      </c>
      <c r="P33" s="256">
        <f>SUM(P22:P31)</f>
        <v>4.206756393478382</v>
      </c>
      <c r="Q33" s="250"/>
      <c r="R33" s="250"/>
      <c r="S33" s="250"/>
      <c r="T33" s="250"/>
      <c r="V33" s="166"/>
      <c r="W33" s="166"/>
      <c r="X33" s="166"/>
      <c r="Y33" s="166"/>
      <c r="Z33" s="166"/>
      <c r="AA33" s="166"/>
      <c r="AC33" s="166"/>
      <c r="AD33" s="166"/>
      <c r="AE33" s="166"/>
      <c r="AF33" s="166"/>
      <c r="AG33" s="166"/>
      <c r="AH33" s="166"/>
      <c r="AI33" s="166"/>
    </row>
    <row r="34" spans="1:35" ht="12.75">
      <c r="A34" s="229"/>
      <c r="B34" s="229"/>
      <c r="C34" s="229"/>
      <c r="D34" s="229"/>
      <c r="E34" s="223"/>
      <c r="F34" s="223"/>
      <c r="G34" s="223"/>
      <c r="H34" s="223"/>
      <c r="I34" s="223"/>
      <c r="J34" s="246"/>
      <c r="K34" s="246"/>
      <c r="L34" s="266" t="s">
        <v>224</v>
      </c>
      <c r="M34" s="250"/>
      <c r="N34" s="250"/>
      <c r="O34" s="250"/>
      <c r="P34" s="250"/>
      <c r="Q34" s="250"/>
      <c r="R34" s="250"/>
      <c r="S34" s="250"/>
      <c r="T34" s="250"/>
      <c r="V34" s="166"/>
      <c r="W34" s="166"/>
      <c r="X34" s="166"/>
      <c r="Y34" s="166"/>
      <c r="Z34" s="166"/>
      <c r="AA34" s="166"/>
      <c r="AC34" s="166"/>
      <c r="AD34" s="166"/>
      <c r="AE34" s="166"/>
      <c r="AF34" s="166"/>
      <c r="AG34" s="166"/>
      <c r="AH34" s="166"/>
      <c r="AI34" s="166"/>
    </row>
    <row r="35" spans="1:35" ht="12.75">
      <c r="A35" s="229"/>
      <c r="B35" s="229"/>
      <c r="C35" s="229"/>
      <c r="D35" s="229"/>
      <c r="E35" s="223"/>
      <c r="F35" s="223"/>
      <c r="G35" s="223"/>
      <c r="H35" s="223"/>
      <c r="I35" s="223"/>
      <c r="J35" s="250"/>
      <c r="K35" s="250"/>
      <c r="L35" s="267">
        <v>9</v>
      </c>
      <c r="M35" s="250"/>
      <c r="N35" s="28" t="s">
        <v>222</v>
      </c>
      <c r="O35" s="28"/>
      <c r="P35" s="250"/>
      <c r="Q35" s="250"/>
      <c r="R35" s="250"/>
      <c r="S35" s="250"/>
      <c r="T35" s="250"/>
      <c r="V35" s="166"/>
      <c r="W35" s="166"/>
      <c r="X35" s="166"/>
      <c r="Y35" s="166"/>
      <c r="Z35" s="166"/>
      <c r="AA35" s="166"/>
      <c r="AC35" s="166"/>
      <c r="AD35" s="166"/>
      <c r="AE35" s="166"/>
      <c r="AF35" s="166"/>
      <c r="AG35" s="166"/>
      <c r="AH35" s="166"/>
      <c r="AI35" s="166"/>
    </row>
    <row r="36" spans="1:20" ht="12.75">
      <c r="A36" s="223"/>
      <c r="B36" s="223"/>
      <c r="C36" s="223"/>
      <c r="D36" s="223"/>
      <c r="E36" s="223"/>
      <c r="F36" s="223"/>
      <c r="G36" s="223"/>
      <c r="H36" s="223"/>
      <c r="I36" s="223"/>
      <c r="J36" s="250"/>
      <c r="K36" s="250"/>
      <c r="L36" s="250" t="s">
        <v>258</v>
      </c>
      <c r="M36" s="250"/>
      <c r="N36" s="28" t="s">
        <v>223</v>
      </c>
      <c r="O36" s="268">
        <f>CHIDIST(P33,L35)</f>
        <v>0.8972847644687202</v>
      </c>
      <c r="P36" s="250"/>
      <c r="Q36" s="250"/>
      <c r="R36" s="250"/>
      <c r="S36" s="250"/>
      <c r="T36" s="250"/>
    </row>
    <row r="37" spans="1:35" ht="12.75">
      <c r="A37" s="223"/>
      <c r="B37" s="223"/>
      <c r="C37" s="223"/>
      <c r="D37" s="223"/>
      <c r="E37" s="223"/>
      <c r="F37" s="223"/>
      <c r="G37" s="223"/>
      <c r="H37" s="223"/>
      <c r="I37" s="223"/>
      <c r="J37" s="250"/>
      <c r="K37" s="250"/>
      <c r="L37" s="250"/>
      <c r="M37" s="250"/>
      <c r="N37" s="269" t="s">
        <v>259</v>
      </c>
      <c r="O37" s="269"/>
      <c r="P37" s="250"/>
      <c r="Q37" s="250"/>
      <c r="R37" s="250"/>
      <c r="S37" s="250"/>
      <c r="T37" s="250"/>
      <c r="V37" s="194"/>
      <c r="W37" s="194"/>
      <c r="X37" s="194"/>
      <c r="Y37" s="194"/>
      <c r="Z37" s="194"/>
      <c r="AA37" s="194"/>
      <c r="AC37" s="194"/>
      <c r="AD37" s="194"/>
      <c r="AE37" s="194"/>
      <c r="AF37" s="194"/>
      <c r="AG37" s="194"/>
      <c r="AH37" s="194"/>
      <c r="AI37" s="194"/>
    </row>
    <row r="38" spans="1:35" ht="12.75">
      <c r="A38" s="223"/>
      <c r="B38" s="223"/>
      <c r="C38" s="223"/>
      <c r="D38" s="223"/>
      <c r="E38" s="223"/>
      <c r="F38" s="223"/>
      <c r="G38" s="223"/>
      <c r="H38" s="223"/>
      <c r="I38" s="223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V38" s="194"/>
      <c r="W38" s="194"/>
      <c r="X38" s="194"/>
      <c r="Y38" s="194"/>
      <c r="Z38" s="194"/>
      <c r="AA38" s="194"/>
      <c r="AC38" s="194"/>
      <c r="AD38" s="194"/>
      <c r="AE38" s="194"/>
      <c r="AF38" s="194"/>
      <c r="AG38" s="194"/>
      <c r="AH38" s="194"/>
      <c r="AI38" s="194"/>
    </row>
    <row r="39" spans="1:35" ht="12.75">
      <c r="A39" s="223"/>
      <c r="B39" s="223"/>
      <c r="C39" s="223"/>
      <c r="D39" s="223"/>
      <c r="E39" s="223"/>
      <c r="F39" s="223"/>
      <c r="G39" s="223"/>
      <c r="H39" s="223"/>
      <c r="I39" s="223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V39" s="194"/>
      <c r="W39" s="194"/>
      <c r="X39" s="194"/>
      <c r="Y39" s="194"/>
      <c r="Z39" s="194"/>
      <c r="AA39" s="194"/>
      <c r="AC39" s="194"/>
      <c r="AD39" s="194"/>
      <c r="AE39" s="194"/>
      <c r="AF39" s="194"/>
      <c r="AG39" s="194"/>
      <c r="AH39" s="194"/>
      <c r="AI39" s="194"/>
    </row>
    <row r="40" spans="2:35" ht="12.75">
      <c r="B40" s="215"/>
      <c r="C40" s="215"/>
      <c r="D40" s="215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V40" s="194"/>
      <c r="W40" s="194"/>
      <c r="X40" s="194"/>
      <c r="Y40" s="194"/>
      <c r="Z40" s="194"/>
      <c r="AA40" s="194"/>
      <c r="AC40" s="194"/>
      <c r="AD40" s="194"/>
      <c r="AE40" s="194"/>
      <c r="AF40" s="194"/>
      <c r="AG40" s="194"/>
      <c r="AH40" s="194"/>
      <c r="AI40" s="194"/>
    </row>
    <row r="41" spans="2:20" ht="12.75">
      <c r="B41" s="215"/>
      <c r="C41" s="215"/>
      <c r="D41" s="215"/>
      <c r="T41" s="220"/>
    </row>
    <row r="42" spans="2:20" ht="12.75">
      <c r="B42" s="215"/>
      <c r="C42" s="215"/>
      <c r="D42" s="215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</row>
    <row r="43" spans="2:20" ht="12.75">
      <c r="B43" s="215"/>
      <c r="C43" s="215"/>
      <c r="D43" s="215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</row>
    <row r="44" spans="2:20" ht="12.75">
      <c r="B44" s="215"/>
      <c r="C44" s="215"/>
      <c r="D44" s="215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</row>
    <row r="45" spans="2:20" ht="12.75">
      <c r="B45" s="215"/>
      <c r="C45" s="215"/>
      <c r="D45" s="215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</row>
    <row r="46" spans="2:20" ht="12.75">
      <c r="B46" s="215"/>
      <c r="C46" s="215"/>
      <c r="D46" s="215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</row>
    <row r="47" spans="2:20" ht="12.75">
      <c r="B47" s="215"/>
      <c r="C47" s="215"/>
      <c r="D47" s="215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</row>
    <row r="48" spans="2:20" ht="12.75">
      <c r="B48" s="215"/>
      <c r="C48" s="215"/>
      <c r="D48" s="215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</row>
    <row r="49" spans="2:20" ht="12.75">
      <c r="B49" s="215"/>
      <c r="C49" s="215"/>
      <c r="D49" s="215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</row>
    <row r="50" spans="2:20" ht="12.75">
      <c r="B50" s="215"/>
      <c r="C50" s="215"/>
      <c r="D50" s="215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</row>
    <row r="51" spans="2:20" ht="12.75">
      <c r="B51" s="215"/>
      <c r="C51" s="215"/>
      <c r="D51" s="215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</row>
    <row r="52" spans="2:20" ht="12.75">
      <c r="B52" s="215"/>
      <c r="C52" s="215"/>
      <c r="D52" s="215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</row>
    <row r="53" spans="10:20" ht="12.75"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</row>
    <row r="54" spans="10:20" ht="12.75"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</row>
    <row r="55" spans="10:20" ht="12.75"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</row>
    <row r="56" spans="10:20" ht="12.75"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Y43"/>
  <sheetViews>
    <sheetView zoomScale="82" zoomScaleNormal="82" zoomScalePageLayoutView="0" workbookViewId="0" topLeftCell="A1">
      <selection activeCell="AC8" sqref="AC8"/>
    </sheetView>
  </sheetViews>
  <sheetFormatPr defaultColWidth="9.140625" defaultRowHeight="12.75"/>
  <cols>
    <col min="1" max="1" width="1.8515625" style="0" customWidth="1"/>
    <col min="2" max="2" width="18.421875" style="0" customWidth="1"/>
    <col min="3" max="3" width="11.7109375" style="0" customWidth="1"/>
    <col min="4" max="4" width="13.57421875" style="0" customWidth="1"/>
    <col min="6" max="6" width="5.28125" style="0" customWidth="1"/>
    <col min="7" max="7" width="6.421875" style="0" customWidth="1"/>
    <col min="8" max="8" width="4.140625" style="0" customWidth="1"/>
    <col min="9" max="9" width="5.421875" style="0" customWidth="1"/>
    <col min="10" max="10" width="6.7109375" style="0" customWidth="1"/>
    <col min="11" max="11" width="1.8515625" style="0" customWidth="1"/>
    <col min="12" max="12" width="7.28125" style="0" customWidth="1"/>
    <col min="13" max="13" width="5.140625" style="0" customWidth="1"/>
    <col min="14" max="14" width="7.28125" style="0" customWidth="1"/>
    <col min="15" max="15" width="1.7109375" style="0" customWidth="1"/>
    <col min="18" max="18" width="7.140625" style="0" customWidth="1"/>
    <col min="19" max="19" width="5.28125" style="0" customWidth="1"/>
    <col min="20" max="20" width="5.421875" style="0" customWidth="1"/>
    <col min="22" max="22" width="6.57421875" style="0" customWidth="1"/>
    <col min="23" max="23" width="3.28125" style="0" customWidth="1"/>
    <col min="25" max="25" width="7.8515625" style="0" customWidth="1"/>
  </cols>
  <sheetData>
    <row r="1" ht="13.5" thickBot="1"/>
    <row r="2" spans="3:25" ht="12.75">
      <c r="C2" s="173" t="s">
        <v>295</v>
      </c>
      <c r="D2" s="173" t="s">
        <v>296</v>
      </c>
      <c r="T2" s="321" t="s">
        <v>315</v>
      </c>
      <c r="U2" s="322"/>
      <c r="V2" s="322"/>
      <c r="W2" s="322"/>
      <c r="X2" s="322"/>
      <c r="Y2" s="323"/>
    </row>
    <row r="3" spans="2:25" ht="12.75">
      <c r="B3" s="280" t="s">
        <v>300</v>
      </c>
      <c r="C3" s="309" t="s">
        <v>309</v>
      </c>
      <c r="D3" s="177"/>
      <c r="T3" s="285"/>
      <c r="U3" s="286"/>
      <c r="V3" s="286"/>
      <c r="W3" s="286"/>
      <c r="X3" s="286"/>
      <c r="Y3" s="288"/>
    </row>
    <row r="4" spans="2:25" ht="12.75">
      <c r="B4" s="279" t="s">
        <v>297</v>
      </c>
      <c r="C4" s="297">
        <v>12</v>
      </c>
      <c r="D4" s="297">
        <v>12</v>
      </c>
      <c r="T4" s="285"/>
      <c r="U4" s="286"/>
      <c r="V4" s="286"/>
      <c r="W4" s="286"/>
      <c r="X4" s="286"/>
      <c r="Y4" s="288"/>
    </row>
    <row r="5" spans="16:25" ht="12.75">
      <c r="P5" s="553"/>
      <c r="T5" s="285"/>
      <c r="U5" s="286"/>
      <c r="V5" s="286"/>
      <c r="W5" s="286"/>
      <c r="X5" s="286"/>
      <c r="Y5" s="288"/>
    </row>
    <row r="6" spans="2:25" ht="12.75">
      <c r="B6" s="280" t="s">
        <v>301</v>
      </c>
      <c r="C6" s="298">
        <v>78</v>
      </c>
      <c r="D6" s="299">
        <v>85</v>
      </c>
      <c r="H6" s="553"/>
      <c r="P6" s="553"/>
      <c r="T6" s="285"/>
      <c r="U6" s="286"/>
      <c r="V6" s="286"/>
      <c r="W6" s="286"/>
      <c r="X6" s="286"/>
      <c r="Y6" s="288"/>
    </row>
    <row r="7" spans="2:25" ht="12.75">
      <c r="B7" s="279" t="s">
        <v>298</v>
      </c>
      <c r="C7" s="298">
        <v>30</v>
      </c>
      <c r="D7" s="299">
        <v>25</v>
      </c>
      <c r="H7" s="553"/>
      <c r="T7" s="285"/>
      <c r="U7" s="286"/>
      <c r="V7" s="286"/>
      <c r="W7" s="286"/>
      <c r="X7" s="286"/>
      <c r="Y7" s="288"/>
    </row>
    <row r="8" spans="2:25" ht="12.75">
      <c r="B8" s="279" t="s">
        <v>299</v>
      </c>
      <c r="C8" s="300">
        <v>10</v>
      </c>
      <c r="D8" s="300">
        <v>15</v>
      </c>
      <c r="T8" s="285"/>
      <c r="U8" s="286"/>
      <c r="V8" s="286"/>
      <c r="W8" s="286"/>
      <c r="X8" s="286"/>
      <c r="Y8" s="288"/>
    </row>
    <row r="9" spans="2:25" ht="13.5" thickBot="1">
      <c r="B9" s="301"/>
      <c r="C9" s="85"/>
      <c r="D9" s="85"/>
      <c r="T9" s="285"/>
      <c r="U9" s="286"/>
      <c r="V9" s="286"/>
      <c r="W9" s="286"/>
      <c r="X9" s="286"/>
      <c r="Y9" s="288"/>
    </row>
    <row r="10" spans="2:25" ht="12.75">
      <c r="B10" s="302"/>
      <c r="C10" s="283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5"/>
      <c r="U10" s="286"/>
      <c r="V10" s="286"/>
      <c r="W10" s="286"/>
      <c r="X10" s="286"/>
      <c r="Y10" s="288"/>
    </row>
    <row r="11" spans="3:25" ht="12.75">
      <c r="C11" s="285"/>
      <c r="D11" s="286"/>
      <c r="E11" s="286"/>
      <c r="F11" s="286"/>
      <c r="G11" s="287" t="s">
        <v>305</v>
      </c>
      <c r="H11" s="286"/>
      <c r="I11" s="286"/>
      <c r="J11" s="286"/>
      <c r="K11" s="286"/>
      <c r="L11" s="287" t="s">
        <v>302</v>
      </c>
      <c r="M11" s="286"/>
      <c r="N11" s="286"/>
      <c r="O11" s="286"/>
      <c r="P11" s="305"/>
      <c r="Q11" s="286"/>
      <c r="R11" s="286"/>
      <c r="S11" s="286"/>
      <c r="T11" s="314"/>
      <c r="U11" s="217"/>
      <c r="V11" s="217"/>
      <c r="W11" s="217"/>
      <c r="X11" s="217"/>
      <c r="Y11" s="316" t="s">
        <v>310</v>
      </c>
    </row>
    <row r="12" spans="3:25" ht="13.5" thickBot="1">
      <c r="C12" s="285"/>
      <c r="D12" s="286"/>
      <c r="E12" s="286"/>
      <c r="F12" s="281"/>
      <c r="G12" s="282">
        <f>C6-D6</f>
        <v>-7</v>
      </c>
      <c r="H12" s="281"/>
      <c r="I12" s="286"/>
      <c r="J12" s="286"/>
      <c r="K12" s="281"/>
      <c r="L12" s="282">
        <f>G12</f>
        <v>-7</v>
      </c>
      <c r="M12" s="286"/>
      <c r="N12" s="286"/>
      <c r="O12" s="286"/>
      <c r="P12" s="286"/>
      <c r="Q12" s="286"/>
      <c r="R12" s="286"/>
      <c r="S12" s="286"/>
      <c r="T12" s="314"/>
      <c r="U12" s="310">
        <f>C8*C8</f>
        <v>100</v>
      </c>
      <c r="V12" s="217"/>
      <c r="W12" s="317" t="s">
        <v>304</v>
      </c>
      <c r="X12" s="310">
        <f>D8*D8</f>
        <v>225</v>
      </c>
      <c r="Y12" s="315"/>
    </row>
    <row r="13" spans="3:25" ht="18.75" thickBot="1">
      <c r="C13" s="285"/>
      <c r="D13" s="286"/>
      <c r="E13" s="289" t="s">
        <v>303</v>
      </c>
      <c r="F13" s="281"/>
      <c r="G13" s="281"/>
      <c r="H13" s="281"/>
      <c r="I13" s="281"/>
      <c r="J13" s="289" t="s">
        <v>303</v>
      </c>
      <c r="K13" s="281"/>
      <c r="L13" s="281"/>
      <c r="M13" s="289" t="s">
        <v>303</v>
      </c>
      <c r="N13" s="304">
        <f>L12/SQRT(L15)</f>
        <v>-2.154101092138323</v>
      </c>
      <c r="O13" s="286"/>
      <c r="P13" s="286"/>
      <c r="Q13" s="286"/>
      <c r="R13" s="308"/>
      <c r="S13" s="286"/>
      <c r="T13" s="314"/>
      <c r="U13" s="310">
        <f>C7</f>
        <v>30</v>
      </c>
      <c r="V13" s="311"/>
      <c r="W13" s="311"/>
      <c r="X13" s="310">
        <f>D7</f>
        <v>25</v>
      </c>
      <c r="Y13" s="318" t="s">
        <v>303</v>
      </c>
    </row>
    <row r="14" spans="3:25" ht="12.75">
      <c r="C14" s="285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 t="s">
        <v>223</v>
      </c>
      <c r="Q14" s="286"/>
      <c r="R14" s="308"/>
      <c r="S14" s="286"/>
      <c r="T14" s="314"/>
      <c r="U14" s="217"/>
      <c r="V14" s="217"/>
      <c r="W14" s="217"/>
      <c r="X14" s="217"/>
      <c r="Y14" s="315"/>
    </row>
    <row r="15" spans="3:25" ht="18">
      <c r="C15" s="285"/>
      <c r="D15" s="286"/>
      <c r="E15" s="286"/>
      <c r="F15" s="286"/>
      <c r="G15" s="296">
        <f>C4*C4</f>
        <v>144</v>
      </c>
      <c r="H15" s="289" t="s">
        <v>304</v>
      </c>
      <c r="I15" s="296">
        <f>D4*D4</f>
        <v>144</v>
      </c>
      <c r="J15" s="286"/>
      <c r="K15" s="286"/>
      <c r="L15" s="296">
        <f>G15/G17+I15/I17</f>
        <v>10.559999999999999</v>
      </c>
      <c r="M15" s="286"/>
      <c r="N15" s="286"/>
      <c r="O15" s="286"/>
      <c r="P15" s="307">
        <f>1-NORMDIST(N13,0,1,TRUE)</f>
        <v>0.9843838775392282</v>
      </c>
      <c r="Q15" s="286" t="s">
        <v>311</v>
      </c>
      <c r="R15" s="85"/>
      <c r="S15" s="305"/>
      <c r="T15" s="314"/>
      <c r="U15" s="310">
        <f>C8*C8</f>
        <v>100</v>
      </c>
      <c r="V15" s="319" t="s">
        <v>310</v>
      </c>
      <c r="W15" s="317" t="s">
        <v>304</v>
      </c>
      <c r="X15" s="310">
        <f>D8*D8</f>
        <v>225</v>
      </c>
      <c r="Y15" s="316" t="s">
        <v>310</v>
      </c>
    </row>
    <row r="16" spans="3:25" ht="12.75">
      <c r="C16" s="285"/>
      <c r="D16" s="286"/>
      <c r="E16" s="286"/>
      <c r="F16" s="286"/>
      <c r="G16" s="291"/>
      <c r="H16" s="291"/>
      <c r="I16" s="291"/>
      <c r="J16" s="286"/>
      <c r="K16" s="286"/>
      <c r="L16" s="291"/>
      <c r="M16" s="286"/>
      <c r="N16" s="286"/>
      <c r="O16" s="286"/>
      <c r="P16" s="286"/>
      <c r="Q16" s="286"/>
      <c r="R16" s="85"/>
      <c r="S16" s="286"/>
      <c r="T16" s="314"/>
      <c r="U16" s="317">
        <f>C7</f>
        <v>30</v>
      </c>
      <c r="V16" s="217"/>
      <c r="W16" s="217"/>
      <c r="X16" s="317">
        <f>D7</f>
        <v>25</v>
      </c>
      <c r="Y16" s="315"/>
    </row>
    <row r="17" spans="3:25" ht="18">
      <c r="C17" s="285"/>
      <c r="D17" s="286"/>
      <c r="E17" s="286"/>
      <c r="F17" s="286"/>
      <c r="G17" s="290">
        <f>C7</f>
        <v>30</v>
      </c>
      <c r="H17" s="291"/>
      <c r="I17" s="290">
        <f>D7</f>
        <v>25</v>
      </c>
      <c r="J17" s="286"/>
      <c r="K17" s="286"/>
      <c r="L17" s="286"/>
      <c r="M17" s="286"/>
      <c r="N17" s="286"/>
      <c r="O17" s="286"/>
      <c r="P17" s="286"/>
      <c r="Q17" s="286"/>
      <c r="R17" s="305"/>
      <c r="S17" s="286"/>
      <c r="T17" s="314"/>
      <c r="U17" s="310"/>
      <c r="V17" s="217"/>
      <c r="W17" s="217"/>
      <c r="X17" s="311"/>
      <c r="Y17" s="318"/>
    </row>
    <row r="18" spans="3:25" ht="12.75">
      <c r="C18" s="285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305"/>
      <c r="S18" s="286"/>
      <c r="T18" s="314"/>
      <c r="U18" s="317">
        <f>C7-1</f>
        <v>29</v>
      </c>
      <c r="V18" s="217"/>
      <c r="W18" s="217"/>
      <c r="X18" s="317">
        <f>D7-1</f>
        <v>24</v>
      </c>
      <c r="Y18" s="315"/>
    </row>
    <row r="19" spans="3:25" ht="12.75">
      <c r="C19" s="285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S19" s="286"/>
      <c r="T19" s="285"/>
      <c r="U19" s="291"/>
      <c r="V19" s="286"/>
      <c r="W19" s="286"/>
      <c r="X19" s="286"/>
      <c r="Y19" s="288"/>
    </row>
    <row r="20" spans="3:25" ht="13.5" thickBot="1">
      <c r="C20" s="292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5"/>
      <c r="U20" s="291"/>
      <c r="V20" s="286"/>
      <c r="W20" s="286"/>
      <c r="X20" s="286"/>
      <c r="Y20" s="288"/>
    </row>
    <row r="21" spans="3:25" ht="12.75">
      <c r="C21" s="283"/>
      <c r="D21" s="284"/>
      <c r="E21" s="284"/>
      <c r="F21" s="284"/>
      <c r="G21" s="306" t="s">
        <v>305</v>
      </c>
      <c r="H21" s="284"/>
      <c r="I21" s="284"/>
      <c r="J21" s="284"/>
      <c r="K21" s="284"/>
      <c r="L21" s="306" t="s">
        <v>302</v>
      </c>
      <c r="M21" s="284"/>
      <c r="N21" s="284"/>
      <c r="O21" s="284"/>
      <c r="P21" s="284"/>
      <c r="Q21" s="284"/>
      <c r="R21" s="284"/>
      <c r="S21" s="284"/>
      <c r="T21" s="314"/>
      <c r="U21" s="313"/>
      <c r="V21" s="310">
        <f>(U12/U13+X12/X13)^2</f>
        <v>152.11111111111111</v>
      </c>
      <c r="W21" s="311"/>
      <c r="X21" s="311"/>
      <c r="Y21" s="315"/>
    </row>
    <row r="22" spans="3:25" ht="13.5" thickBot="1">
      <c r="C22" s="285"/>
      <c r="D22" s="286"/>
      <c r="E22" s="286"/>
      <c r="F22" s="281"/>
      <c r="G22" s="282">
        <f>C6-D6</f>
        <v>-7</v>
      </c>
      <c r="H22" s="281"/>
      <c r="I22" s="281"/>
      <c r="J22" s="286"/>
      <c r="K22" s="281"/>
      <c r="L22" s="282">
        <f>G22</f>
        <v>-7</v>
      </c>
      <c r="M22" s="286"/>
      <c r="N22" s="286"/>
      <c r="O22" s="286"/>
      <c r="P22" s="301"/>
      <c r="Q22" s="301" t="s">
        <v>306</v>
      </c>
      <c r="R22" s="295">
        <f>MIN(C7-1,D7-1)</f>
        <v>24</v>
      </c>
      <c r="S22" s="85"/>
      <c r="T22" s="314"/>
      <c r="U22" s="217"/>
      <c r="V22" s="217"/>
      <c r="W22" s="217"/>
      <c r="X22" s="217"/>
      <c r="Y22" s="315"/>
    </row>
    <row r="23" spans="3:25" ht="18.75" thickBot="1">
      <c r="C23" s="285"/>
      <c r="D23" s="286"/>
      <c r="E23" s="289" t="s">
        <v>303</v>
      </c>
      <c r="F23" s="281"/>
      <c r="G23" s="281"/>
      <c r="H23" s="281"/>
      <c r="I23" s="281"/>
      <c r="J23" s="289" t="s">
        <v>303</v>
      </c>
      <c r="K23" s="281"/>
      <c r="L23" s="281"/>
      <c r="M23" s="289" t="s">
        <v>303</v>
      </c>
      <c r="N23" s="294">
        <f>L22/SQRT(L25)</f>
        <v>-1.9932317910802477</v>
      </c>
      <c r="O23" s="286"/>
      <c r="P23" s="286"/>
      <c r="Q23" s="303" t="s">
        <v>307</v>
      </c>
      <c r="R23" s="286"/>
      <c r="S23" s="286"/>
      <c r="T23" s="314"/>
      <c r="U23" s="310">
        <f>(C8*C8/C7)^2</f>
        <v>11.111111111111112</v>
      </c>
      <c r="V23" s="317"/>
      <c r="W23" s="317" t="s">
        <v>304</v>
      </c>
      <c r="X23" s="310">
        <f>(D8*D8/D7)^2</f>
        <v>81</v>
      </c>
      <c r="Y23" s="318" t="s">
        <v>303</v>
      </c>
    </row>
    <row r="24" spans="3:25" ht="12.75">
      <c r="C24" s="285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305" t="s">
        <v>308</v>
      </c>
      <c r="Q24" s="286"/>
      <c r="R24" s="286"/>
      <c r="S24" s="286"/>
      <c r="T24" s="314"/>
      <c r="U24" s="317">
        <f>U18</f>
        <v>29</v>
      </c>
      <c r="V24" s="317"/>
      <c r="W24" s="317"/>
      <c r="X24" s="317">
        <f>X18</f>
        <v>24</v>
      </c>
      <c r="Y24" s="315"/>
    </row>
    <row r="25" spans="3:25" ht="18">
      <c r="C25" s="285"/>
      <c r="D25" s="286"/>
      <c r="E25" s="286"/>
      <c r="F25" s="286"/>
      <c r="G25" s="295">
        <f>C8*C8</f>
        <v>100</v>
      </c>
      <c r="H25" s="289" t="s">
        <v>304</v>
      </c>
      <c r="I25" s="295">
        <f>D8*D8</f>
        <v>225</v>
      </c>
      <c r="J25" s="286"/>
      <c r="K25" s="286"/>
      <c r="L25" s="295">
        <f>G25/G27+I25/I27</f>
        <v>12.333333333333334</v>
      </c>
      <c r="M25" s="286"/>
      <c r="N25" s="286"/>
      <c r="O25" s="286"/>
      <c r="P25" s="294">
        <f>TDIST(ABS(N23),R22,1)</f>
        <v>0.028861351010891084</v>
      </c>
      <c r="Q25" s="286" t="s">
        <v>311</v>
      </c>
      <c r="R25" s="286"/>
      <c r="S25" s="286"/>
      <c r="T25" s="285"/>
      <c r="U25" s="291"/>
      <c r="V25" s="291"/>
      <c r="W25" s="291"/>
      <c r="X25" s="291"/>
      <c r="Y25" s="288"/>
    </row>
    <row r="26" spans="3:25" ht="18">
      <c r="C26" s="285"/>
      <c r="D26" s="85"/>
      <c r="E26" s="286"/>
      <c r="F26" s="286"/>
      <c r="G26" s="291"/>
      <c r="H26" s="291"/>
      <c r="I26" s="291"/>
      <c r="J26" s="286"/>
      <c r="K26" s="286"/>
      <c r="L26" s="291"/>
      <c r="M26" s="286"/>
      <c r="N26" s="286"/>
      <c r="O26" s="286"/>
      <c r="P26" s="308"/>
      <c r="Q26" s="286"/>
      <c r="S26" s="286"/>
      <c r="T26" s="285"/>
      <c r="U26" s="311">
        <f>V21</f>
        <v>152.11111111111111</v>
      </c>
      <c r="V26" s="312" t="s">
        <v>303</v>
      </c>
      <c r="W26" s="286"/>
      <c r="X26" s="217">
        <f>U26/U27</f>
        <v>40.47508602013508</v>
      </c>
      <c r="Y26" s="288"/>
    </row>
    <row r="27" spans="3:25" ht="12.75">
      <c r="C27" s="285"/>
      <c r="D27" s="286"/>
      <c r="E27" s="286"/>
      <c r="F27" s="286"/>
      <c r="G27" s="290">
        <f>C7</f>
        <v>30</v>
      </c>
      <c r="H27" s="291"/>
      <c r="I27" s="290">
        <f>D7</f>
        <v>25</v>
      </c>
      <c r="J27" s="286"/>
      <c r="K27" s="286"/>
      <c r="L27" s="286"/>
      <c r="M27" s="286"/>
      <c r="N27" s="286"/>
      <c r="O27" s="286"/>
      <c r="P27" s="308"/>
      <c r="Q27" s="286"/>
      <c r="S27" s="286"/>
      <c r="T27" s="285"/>
      <c r="U27" s="217">
        <f>U23/U24+X23/X24</f>
        <v>3.7581417624521074</v>
      </c>
      <c r="V27" s="85"/>
      <c r="W27" s="286"/>
      <c r="X27" s="286"/>
      <c r="Y27" s="288"/>
    </row>
    <row r="28" spans="3:25" ht="12.75">
      <c r="C28" s="285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5"/>
      <c r="U28" s="286"/>
      <c r="V28" s="286"/>
      <c r="W28" s="286" t="s">
        <v>312</v>
      </c>
      <c r="X28" s="286"/>
      <c r="Y28" s="288"/>
    </row>
    <row r="29" spans="3:25" ht="18.75" thickBot="1">
      <c r="C29" s="292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5"/>
      <c r="U29" s="320" t="s">
        <v>313</v>
      </c>
      <c r="V29" s="312" t="s">
        <v>303</v>
      </c>
      <c r="W29" s="286"/>
      <c r="X29" s="317">
        <f>ROUND(X26,0)</f>
        <v>40</v>
      </c>
      <c r="Y29" s="288"/>
    </row>
    <row r="30" spans="2:25" ht="12.75"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285"/>
      <c r="U30" s="320"/>
      <c r="V30" s="286"/>
      <c r="W30" s="286"/>
      <c r="X30" s="286"/>
      <c r="Y30" s="288"/>
    </row>
    <row r="31" spans="2:25" ht="14.25">
      <c r="B31" s="349"/>
      <c r="C31" s="276" t="s">
        <v>338</v>
      </c>
      <c r="D31" s="276"/>
      <c r="E31" s="276"/>
      <c r="F31" s="276"/>
      <c r="G31" s="276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285"/>
      <c r="U31" s="320" t="s">
        <v>223</v>
      </c>
      <c r="V31" s="217">
        <f>TDIST(ABS(N23),X29,1)</f>
        <v>0.026543870659823852</v>
      </c>
      <c r="W31" s="286" t="s">
        <v>314</v>
      </c>
      <c r="X31" s="286"/>
      <c r="Y31" s="288"/>
    </row>
    <row r="32" spans="2:25" ht="13.5" thickBot="1">
      <c r="B32" s="349"/>
      <c r="C32" s="276" t="s">
        <v>337</v>
      </c>
      <c r="D32" s="276"/>
      <c r="E32" s="276"/>
      <c r="F32" s="276"/>
      <c r="G32" s="276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292"/>
      <c r="U32" s="281" t="s">
        <v>336</v>
      </c>
      <c r="V32" s="361">
        <f>V31*2</f>
        <v>0.053087741319647705</v>
      </c>
      <c r="W32" s="281"/>
      <c r="X32" s="281"/>
      <c r="Y32" s="293"/>
    </row>
    <row r="33" spans="2:25" ht="12.75">
      <c r="B33" s="349"/>
      <c r="D33" s="276"/>
      <c r="E33" s="276"/>
      <c r="F33" s="276"/>
      <c r="G33" s="276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</row>
    <row r="34" spans="2:25" ht="12.75">
      <c r="B34" s="349"/>
      <c r="C34" s="276"/>
      <c r="D34" s="276"/>
      <c r="E34" s="276"/>
      <c r="F34" s="276"/>
      <c r="G34" s="276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</row>
    <row r="35" spans="2:20" ht="12.75">
      <c r="B35" s="349"/>
      <c r="C35" s="276"/>
      <c r="D35" s="276"/>
      <c r="E35" s="276"/>
      <c r="F35" s="276"/>
      <c r="G35" s="276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</row>
    <row r="36" spans="2:20" ht="12.75">
      <c r="B36" s="349"/>
      <c r="C36" s="276"/>
      <c r="D36" s="276"/>
      <c r="E36" s="276"/>
      <c r="F36" s="276"/>
      <c r="G36" s="276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</row>
    <row r="37" spans="2:20" ht="12.75"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</row>
    <row r="38" spans="2:20" ht="12.75"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</row>
    <row r="39" spans="2:20" ht="12.75"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</row>
    <row r="40" spans="2:20" ht="12.75"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</row>
    <row r="41" spans="2:25" ht="12.75"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</row>
    <row r="42" spans="2:25" ht="12.75"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</row>
    <row r="43" spans="2:25" ht="12.75">
      <c r="B43" s="349"/>
      <c r="C43" s="349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</row>
  </sheetData>
  <sheetProtection/>
  <mergeCells count="2">
    <mergeCell ref="H6:H7"/>
    <mergeCell ref="P5:P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3:Z26"/>
  <sheetViews>
    <sheetView zoomScale="76" zoomScaleNormal="76" zoomScalePageLayoutView="0" workbookViewId="0" topLeftCell="A1">
      <selection activeCell="A2" sqref="A2:Z32"/>
    </sheetView>
  </sheetViews>
  <sheetFormatPr defaultColWidth="9.140625" defaultRowHeight="12.75"/>
  <cols>
    <col min="2" max="2" width="3.00390625" style="0" customWidth="1"/>
    <col min="5" max="5" width="13.421875" style="0" customWidth="1"/>
    <col min="6" max="6" width="15.421875" style="0" customWidth="1"/>
    <col min="7" max="7" width="5.7109375" style="0" customWidth="1"/>
    <col min="8" max="8" width="10.28125" style="0" customWidth="1"/>
    <col min="9" max="9" width="7.8515625" style="0" customWidth="1"/>
    <col min="10" max="10" width="1.8515625" style="0" customWidth="1"/>
    <col min="11" max="11" width="8.28125" style="0" customWidth="1"/>
    <col min="12" max="12" width="2.140625" style="0" customWidth="1"/>
    <col min="13" max="13" width="5.140625" style="0" customWidth="1"/>
    <col min="14" max="14" width="6.28125" style="0" customWidth="1"/>
    <col min="15" max="15" width="3.7109375" style="0" customWidth="1"/>
    <col min="16" max="16" width="2.7109375" style="0" customWidth="1"/>
    <col min="17" max="17" width="4.57421875" style="0" customWidth="1"/>
    <col min="18" max="18" width="1.421875" style="0" customWidth="1"/>
    <col min="20" max="20" width="1.28515625" style="0" customWidth="1"/>
    <col min="21" max="21" width="6.140625" style="0" customWidth="1"/>
    <col min="22" max="22" width="10.00390625" style="0" customWidth="1"/>
    <col min="23" max="23" width="8.7109375" style="0" customWidth="1"/>
    <col min="25" max="25" width="3.8515625" style="0" customWidth="1"/>
  </cols>
  <sheetData>
    <row r="3" spans="2:25" ht="19.5">
      <c r="B3" s="36"/>
      <c r="C3" s="345" t="s">
        <v>327</v>
      </c>
      <c r="D3" s="345" t="s">
        <v>328</v>
      </c>
      <c r="E3" s="345" t="s">
        <v>329</v>
      </c>
      <c r="F3" s="345" t="s">
        <v>330</v>
      </c>
      <c r="G3" s="337"/>
      <c r="H3" s="337"/>
      <c r="I3" s="553"/>
      <c r="K3" s="302"/>
      <c r="L3" s="324"/>
      <c r="R3" s="286"/>
      <c r="S3" s="330"/>
      <c r="T3" s="286"/>
      <c r="U3" s="286"/>
      <c r="V3" s="330"/>
      <c r="W3" s="330"/>
      <c r="X3" s="330"/>
      <c r="Y3" s="330"/>
    </row>
    <row r="4" spans="2:12" ht="15.75">
      <c r="B4" s="36">
        <v>1</v>
      </c>
      <c r="C4" s="348">
        <v>4</v>
      </c>
      <c r="D4" s="348">
        <v>2</v>
      </c>
      <c r="E4" s="339">
        <f aca="true" t="shared" si="0" ref="E4:E9">C4-D4</f>
        <v>2</v>
      </c>
      <c r="F4" s="339">
        <f aca="true" t="shared" si="1" ref="F4:F9">E4^2</f>
        <v>4</v>
      </c>
      <c r="G4" s="337"/>
      <c r="H4" s="337"/>
      <c r="I4" s="553"/>
      <c r="K4" s="302"/>
      <c r="L4" s="324"/>
    </row>
    <row r="5" spans="2:9" ht="15.75">
      <c r="B5" s="36">
        <v>2</v>
      </c>
      <c r="C5" s="348">
        <v>4</v>
      </c>
      <c r="D5" s="348">
        <v>2</v>
      </c>
      <c r="E5" s="339">
        <f t="shared" si="0"/>
        <v>2</v>
      </c>
      <c r="F5" s="339">
        <f t="shared" si="1"/>
        <v>4</v>
      </c>
      <c r="G5" s="337"/>
      <c r="H5" s="337"/>
      <c r="I5" s="324"/>
    </row>
    <row r="6" spans="2:9" ht="15.75">
      <c r="B6" s="36">
        <v>3</v>
      </c>
      <c r="C6" s="348">
        <v>0</v>
      </c>
      <c r="D6" s="348">
        <v>1</v>
      </c>
      <c r="E6" s="339">
        <f t="shared" si="0"/>
        <v>-1</v>
      </c>
      <c r="F6" s="339">
        <f t="shared" si="1"/>
        <v>1</v>
      </c>
      <c r="G6" s="337"/>
      <c r="H6" s="337"/>
      <c r="I6" s="324"/>
    </row>
    <row r="7" spans="2:13" ht="15.75">
      <c r="B7" s="36">
        <v>4</v>
      </c>
      <c r="C7" s="348">
        <v>14</v>
      </c>
      <c r="D7" s="348">
        <v>8</v>
      </c>
      <c r="E7" s="339">
        <f t="shared" si="0"/>
        <v>6</v>
      </c>
      <c r="F7" s="339">
        <f t="shared" si="1"/>
        <v>36</v>
      </c>
      <c r="G7" s="337"/>
      <c r="H7" s="337"/>
      <c r="I7" s="324"/>
      <c r="K7" s="308"/>
      <c r="L7" s="85"/>
      <c r="M7" s="85"/>
    </row>
    <row r="8" spans="2:13" ht="15.75">
      <c r="B8" s="36">
        <v>5</v>
      </c>
      <c r="C8" s="348">
        <v>8</v>
      </c>
      <c r="D8" s="348">
        <v>4</v>
      </c>
      <c r="E8" s="339">
        <f t="shared" si="0"/>
        <v>4</v>
      </c>
      <c r="F8" s="339">
        <f t="shared" si="1"/>
        <v>16</v>
      </c>
      <c r="G8" s="337"/>
      <c r="H8" s="337"/>
      <c r="I8" s="324"/>
      <c r="K8" s="85"/>
      <c r="L8" s="85"/>
      <c r="M8" s="85"/>
    </row>
    <row r="9" spans="2:13" ht="15.75">
      <c r="B9" s="36">
        <v>6</v>
      </c>
      <c r="C9" s="348">
        <v>5</v>
      </c>
      <c r="D9" s="348">
        <v>2</v>
      </c>
      <c r="E9" s="339">
        <f t="shared" si="0"/>
        <v>3</v>
      </c>
      <c r="F9" s="346">
        <f t="shared" si="1"/>
        <v>9</v>
      </c>
      <c r="G9" s="337"/>
      <c r="H9" s="337"/>
      <c r="I9" s="324"/>
      <c r="K9" s="85"/>
      <c r="L9" s="85"/>
      <c r="M9" s="85"/>
    </row>
    <row r="10" spans="2:9" ht="18">
      <c r="B10" s="36"/>
      <c r="C10" s="36"/>
      <c r="D10" s="36"/>
      <c r="E10" s="347" t="s">
        <v>331</v>
      </c>
      <c r="F10" s="339">
        <f>SUM(F4:F9)</f>
        <v>70</v>
      </c>
      <c r="G10" s="337"/>
      <c r="H10" s="337"/>
      <c r="I10" s="553"/>
    </row>
    <row r="11" spans="2:9" ht="16.5" thickBot="1">
      <c r="B11" s="36"/>
      <c r="C11" s="36"/>
      <c r="D11" s="347" t="s">
        <v>320</v>
      </c>
      <c r="E11" s="360">
        <f>SUM(E4:E9)</f>
        <v>16</v>
      </c>
      <c r="F11" s="36"/>
      <c r="G11" s="36"/>
      <c r="H11" s="36"/>
      <c r="I11" s="553"/>
    </row>
    <row r="12" spans="2:8" ht="15.75">
      <c r="B12" s="36"/>
      <c r="C12" s="36"/>
      <c r="D12" s="347" t="s">
        <v>229</v>
      </c>
      <c r="E12" s="359">
        <v>6</v>
      </c>
      <c r="F12" s="36"/>
      <c r="G12" s="36"/>
      <c r="H12" s="36"/>
    </row>
    <row r="13" spans="2:25" ht="15.75">
      <c r="B13" s="36"/>
      <c r="C13" s="36"/>
      <c r="D13" s="36"/>
      <c r="E13" s="36"/>
      <c r="F13" s="36"/>
      <c r="G13" s="286"/>
      <c r="H13" s="286"/>
      <c r="I13" s="286"/>
      <c r="J13" s="286"/>
      <c r="K13" s="287"/>
      <c r="L13" s="287"/>
      <c r="M13" s="286"/>
      <c r="N13" s="286"/>
      <c r="O13" s="286"/>
      <c r="P13" s="286"/>
      <c r="Q13" s="287"/>
      <c r="R13" s="286"/>
      <c r="S13" s="286"/>
      <c r="T13" s="286"/>
      <c r="U13" s="286"/>
      <c r="V13" s="286"/>
      <c r="W13" s="286"/>
      <c r="X13" s="286"/>
      <c r="Y13" s="286"/>
    </row>
    <row r="14" spans="2:20" ht="15.75">
      <c r="B14" s="36"/>
      <c r="C14" s="36"/>
      <c r="D14" s="347" t="s">
        <v>321</v>
      </c>
      <c r="E14" s="339">
        <f>E11/E12</f>
        <v>2.6666666666666665</v>
      </c>
      <c r="F14" s="36"/>
      <c r="G14" s="286"/>
      <c r="T14" s="194"/>
    </row>
    <row r="15" spans="7:22" ht="18.75" thickBot="1">
      <c r="G15" s="289" t="s">
        <v>332</v>
      </c>
      <c r="H15" s="281"/>
      <c r="I15" s="325"/>
      <c r="J15" s="325"/>
      <c r="K15" s="326">
        <f>E14</f>
        <v>2.6666666666666665</v>
      </c>
      <c r="L15" s="327"/>
      <c r="M15" s="328" t="s">
        <v>322</v>
      </c>
      <c r="N15" s="327">
        <v>0</v>
      </c>
      <c r="O15" s="327"/>
      <c r="P15" s="281"/>
      <c r="Q15" s="289" t="s">
        <v>303</v>
      </c>
      <c r="R15" s="281"/>
      <c r="S15" s="326">
        <f>K15</f>
        <v>2.6666666666666665</v>
      </c>
      <c r="T15" s="281"/>
      <c r="U15" s="340" t="s">
        <v>303</v>
      </c>
      <c r="V15" s="342">
        <f>S15/S16</f>
        <v>2.793721183078312</v>
      </c>
    </row>
    <row r="16" spans="7:20" ht="18.75" thickBot="1">
      <c r="G16" s="286"/>
      <c r="H16" s="350"/>
      <c r="I16" s="328"/>
      <c r="J16" s="325"/>
      <c r="K16" s="325"/>
      <c r="L16" s="325"/>
      <c r="M16" s="325"/>
      <c r="N16" s="325"/>
      <c r="O16" s="329"/>
      <c r="P16" s="281"/>
      <c r="R16" s="286"/>
      <c r="S16" s="343">
        <f>SQRT((I18*K18-N18*N18)/I20/K20)/SQRT(E12)</f>
        <v>0.9545214042184237</v>
      </c>
      <c r="T16" s="352"/>
    </row>
    <row r="17" spans="7:25" ht="15.75">
      <c r="G17" s="286"/>
      <c r="H17" s="286"/>
      <c r="I17" s="330"/>
      <c r="J17" s="330"/>
      <c r="K17" s="330"/>
      <c r="L17" s="330"/>
      <c r="M17" s="330"/>
      <c r="N17" s="330"/>
      <c r="O17" s="330"/>
      <c r="Q17" s="286"/>
      <c r="R17" s="286"/>
      <c r="U17" s="354"/>
      <c r="V17" s="355"/>
      <c r="W17" s="284"/>
      <c r="X17" s="284"/>
      <c r="Y17" s="357"/>
    </row>
    <row r="18" spans="6:26" ht="18.75" thickBot="1">
      <c r="F18" s="286"/>
      <c r="G18" s="286"/>
      <c r="H18" s="286"/>
      <c r="I18" s="331">
        <f>E12</f>
        <v>6</v>
      </c>
      <c r="J18" s="325" t="s">
        <v>323</v>
      </c>
      <c r="K18" s="326">
        <f>F10</f>
        <v>70</v>
      </c>
      <c r="L18" s="332" t="s">
        <v>324</v>
      </c>
      <c r="M18" s="328" t="s">
        <v>325</v>
      </c>
      <c r="N18" s="326">
        <f>E11</f>
        <v>16</v>
      </c>
      <c r="O18" s="333" t="s">
        <v>326</v>
      </c>
      <c r="Q18" s="286"/>
      <c r="R18" s="286"/>
      <c r="U18" s="356"/>
      <c r="V18" s="330"/>
      <c r="W18" s="344" t="s">
        <v>335</v>
      </c>
      <c r="X18" s="342">
        <f>V15</f>
        <v>2.793721183078312</v>
      </c>
      <c r="Y18" s="358"/>
      <c r="Z18" s="330"/>
    </row>
    <row r="19" spans="6:26" ht="15.75">
      <c r="F19" s="286"/>
      <c r="G19" s="286"/>
      <c r="H19" s="286"/>
      <c r="I19" s="330"/>
      <c r="J19" s="330"/>
      <c r="K19" s="334"/>
      <c r="L19" s="334"/>
      <c r="M19" s="334"/>
      <c r="N19" s="334"/>
      <c r="O19" s="334"/>
      <c r="Q19" s="286"/>
      <c r="R19" s="286"/>
      <c r="S19" s="334"/>
      <c r="T19" s="334"/>
      <c r="U19" s="356"/>
      <c r="V19" s="338"/>
      <c r="W19" s="338" t="s">
        <v>306</v>
      </c>
      <c r="X19" s="339">
        <f>E12-1</f>
        <v>5</v>
      </c>
      <c r="Y19" s="288"/>
      <c r="Z19" s="36"/>
    </row>
    <row r="20" spans="4:25" ht="15.75">
      <c r="D20" s="347" t="s">
        <v>334</v>
      </c>
      <c r="E20" s="353">
        <f>SQRT((I18*K18-N18*N18)/I20/K20)</f>
        <v>2.3380903889000244</v>
      </c>
      <c r="G20" s="286"/>
      <c r="H20" s="286"/>
      <c r="I20" s="335">
        <f>E12</f>
        <v>6</v>
      </c>
      <c r="J20" s="330" t="s">
        <v>323</v>
      </c>
      <c r="K20" s="336">
        <f>E12-1</f>
        <v>5</v>
      </c>
      <c r="L20" s="36" t="s">
        <v>324</v>
      </c>
      <c r="M20" s="36"/>
      <c r="N20" s="337"/>
      <c r="O20" s="337"/>
      <c r="P20" s="286"/>
      <c r="Q20" s="286"/>
      <c r="R20" s="286"/>
      <c r="S20" s="286"/>
      <c r="T20" s="286"/>
      <c r="U20" s="356"/>
      <c r="V20" s="330"/>
      <c r="W20" s="341"/>
      <c r="X20" s="330"/>
      <c r="Y20" s="288"/>
    </row>
    <row r="21" spans="6:25" ht="16.5" thickBot="1">
      <c r="F21" s="286"/>
      <c r="G21" s="286"/>
      <c r="H21" s="281"/>
      <c r="I21" s="325"/>
      <c r="J21" s="325"/>
      <c r="K21" s="325"/>
      <c r="L21" s="325"/>
      <c r="M21" s="325"/>
      <c r="N21" s="325"/>
      <c r="O21" s="325"/>
      <c r="P21" s="281"/>
      <c r="Q21" s="286"/>
      <c r="R21" s="286"/>
      <c r="S21" s="286"/>
      <c r="T21" s="286"/>
      <c r="U21" s="356"/>
      <c r="V21" s="344" t="s">
        <v>308</v>
      </c>
      <c r="W21" s="342">
        <f>TDIST(ABS(V15),X19,1)</f>
        <v>0.019138134464324934</v>
      </c>
      <c r="X21" s="330" t="s">
        <v>333</v>
      </c>
      <c r="Y21" s="288"/>
    </row>
    <row r="22" spans="6:26" ht="16.5" thickBot="1">
      <c r="F22" s="286"/>
      <c r="H22" s="286"/>
      <c r="I22" s="330"/>
      <c r="J22" s="330"/>
      <c r="K22" s="329"/>
      <c r="L22" s="330"/>
      <c r="M22" s="330"/>
      <c r="N22" s="330"/>
      <c r="O22" s="330"/>
      <c r="P22" s="286"/>
      <c r="Q22" s="286"/>
      <c r="R22" s="286"/>
      <c r="S22" s="286"/>
      <c r="T22" s="286"/>
      <c r="U22" s="292"/>
      <c r="V22" s="281"/>
      <c r="W22" s="281"/>
      <c r="X22" s="281"/>
      <c r="Y22" s="293"/>
      <c r="Z22" s="286"/>
    </row>
    <row r="23" ht="12.75">
      <c r="F23" s="286"/>
    </row>
    <row r="24" spans="6:11" ht="15.75">
      <c r="F24" s="286"/>
      <c r="G24" s="194"/>
      <c r="K24" s="351">
        <f>E12</f>
        <v>6</v>
      </c>
    </row>
    <row r="25" spans="6:26" ht="12.75">
      <c r="F25" s="286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</row>
    <row r="26" ht="12.75">
      <c r="F26" s="286"/>
    </row>
  </sheetData>
  <sheetProtection/>
  <mergeCells count="2">
    <mergeCell ref="I3:I4"/>
    <mergeCell ref="I10:I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45"/>
  <sheetViews>
    <sheetView zoomScalePageLayoutView="0" workbookViewId="0" topLeftCell="A1">
      <selection activeCell="C31" sqref="C31"/>
    </sheetView>
  </sheetViews>
  <sheetFormatPr defaultColWidth="9.140625" defaultRowHeight="12" customHeight="1"/>
  <cols>
    <col min="1" max="1" width="9.140625" style="39" customWidth="1"/>
    <col min="2" max="2" width="9.421875" style="39" customWidth="1"/>
    <col min="3" max="3" width="1.28515625" style="39" customWidth="1"/>
    <col min="4" max="4" width="7.00390625" style="39" customWidth="1"/>
    <col min="5" max="5" width="9.140625" style="39" customWidth="1"/>
    <col min="6" max="6" width="9.00390625" style="39" customWidth="1"/>
    <col min="7" max="7" width="0.9921875" style="39" customWidth="1"/>
    <col min="8" max="8" width="7.00390625" style="39" customWidth="1"/>
    <col min="9" max="9" width="11.57421875" style="39" customWidth="1"/>
    <col min="10" max="10" width="7.00390625" style="39" customWidth="1"/>
    <col min="11" max="11" width="1.57421875" style="39" customWidth="1"/>
    <col min="12" max="12" width="7.140625" style="39" customWidth="1"/>
    <col min="13" max="16384" width="9.140625" style="39" customWidth="1"/>
  </cols>
  <sheetData>
    <row r="1" s="6" customFormat="1" ht="12" customHeight="1"/>
    <row r="2" spans="1:21" ht="12" customHeight="1">
      <c r="A2" s="117"/>
      <c r="B2" s="123" t="s">
        <v>3</v>
      </c>
      <c r="C2" s="124" t="s">
        <v>41</v>
      </c>
      <c r="D2" s="124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2" customHeight="1">
      <c r="A3" s="117"/>
      <c r="B3" s="123" t="s">
        <v>6</v>
      </c>
      <c r="C3" s="124" t="s">
        <v>30</v>
      </c>
      <c r="D3" s="12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2" customHeight="1">
      <c r="A4" s="6"/>
      <c r="B4" s="123" t="s">
        <v>7</v>
      </c>
      <c r="C4" s="124" t="s">
        <v>36</v>
      </c>
      <c r="D4" s="12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2" customHeight="1">
      <c r="A5" s="6"/>
      <c r="B5" s="106"/>
      <c r="C5" s="6"/>
      <c r="D5" s="6"/>
      <c r="E5" s="6"/>
      <c r="F5" s="106"/>
      <c r="G5" s="6"/>
      <c r="H5" s="6"/>
      <c r="I5" s="6"/>
      <c r="J5" s="10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2" customHeight="1">
      <c r="A6" s="6"/>
      <c r="B6" s="106"/>
      <c r="C6" s="6"/>
      <c r="D6" s="47" t="s">
        <v>40</v>
      </c>
      <c r="E6" s="6"/>
      <c r="F6" s="106"/>
      <c r="G6" s="117"/>
      <c r="H6" s="47" t="s">
        <v>40</v>
      </c>
      <c r="I6" s="6"/>
      <c r="J6" s="106"/>
      <c r="K6" s="117"/>
      <c r="L6" s="47" t="s">
        <v>40</v>
      </c>
      <c r="M6" s="6"/>
      <c r="N6" s="6"/>
      <c r="O6" s="6"/>
      <c r="P6" s="6"/>
      <c r="Q6" s="6"/>
      <c r="R6" s="6"/>
      <c r="S6" s="6"/>
      <c r="T6" s="6"/>
      <c r="U6" s="6"/>
    </row>
    <row r="7" spans="1:21" ht="12" customHeight="1">
      <c r="A7" s="6"/>
      <c r="B7" s="6">
        <v>1</v>
      </c>
      <c r="C7" s="6"/>
      <c r="D7" s="40">
        <v>99</v>
      </c>
      <c r="E7" s="6"/>
      <c r="F7" s="6">
        <v>1</v>
      </c>
      <c r="G7" s="117"/>
      <c r="H7" s="40">
        <v>99</v>
      </c>
      <c r="I7" s="6"/>
      <c r="J7" s="6">
        <v>1</v>
      </c>
      <c r="K7" s="117"/>
      <c r="L7" s="40">
        <v>99</v>
      </c>
      <c r="M7" s="6"/>
      <c r="N7" s="6"/>
      <c r="O7" s="6"/>
      <c r="P7" s="6"/>
      <c r="Q7" s="6"/>
      <c r="R7" s="6"/>
      <c r="S7" s="6"/>
      <c r="T7" s="6"/>
      <c r="U7" s="6"/>
    </row>
    <row r="8" spans="1:21" ht="12" customHeight="1">
      <c r="A8" s="6"/>
      <c r="B8" s="6">
        <v>2</v>
      </c>
      <c r="C8" s="6"/>
      <c r="D8" s="40">
        <v>3</v>
      </c>
      <c r="E8" s="6"/>
      <c r="F8" s="6">
        <v>2</v>
      </c>
      <c r="G8" s="117"/>
      <c r="H8" s="40">
        <v>3</v>
      </c>
      <c r="I8" s="6"/>
      <c r="J8" s="6">
        <v>2</v>
      </c>
      <c r="K8" s="117"/>
      <c r="L8" s="40">
        <v>3</v>
      </c>
      <c r="M8" s="6"/>
      <c r="N8" s="6"/>
      <c r="O8" s="6"/>
      <c r="P8" s="6"/>
      <c r="Q8" s="6"/>
      <c r="R8" s="6"/>
      <c r="S8" s="6"/>
      <c r="T8" s="6"/>
      <c r="U8" s="6"/>
    </row>
    <row r="9" spans="1:21" ht="12" customHeight="1">
      <c r="A9" s="6"/>
      <c r="B9" s="6">
        <v>3</v>
      </c>
      <c r="C9" s="6"/>
      <c r="D9" s="40">
        <v>6</v>
      </c>
      <c r="E9" s="6"/>
      <c r="F9" s="6">
        <v>3</v>
      </c>
      <c r="G9" s="117"/>
      <c r="H9" s="40">
        <v>6</v>
      </c>
      <c r="I9" s="6"/>
      <c r="J9" s="6">
        <v>3</v>
      </c>
      <c r="K9" s="117"/>
      <c r="L9" s="40">
        <v>6</v>
      </c>
      <c r="M9" s="6"/>
      <c r="N9" s="6"/>
      <c r="O9" s="6"/>
      <c r="P9" s="6"/>
      <c r="Q9" s="6"/>
      <c r="R9" s="6"/>
      <c r="S9" s="6"/>
      <c r="T9" s="6"/>
      <c r="U9" s="6"/>
    </row>
    <row r="10" spans="1:21" ht="12" customHeight="1">
      <c r="A10" s="6"/>
      <c r="B10" s="6">
        <v>4</v>
      </c>
      <c r="C10" s="6"/>
      <c r="D10" s="40">
        <v>5</v>
      </c>
      <c r="E10" s="6"/>
      <c r="F10" s="6">
        <v>4</v>
      </c>
      <c r="G10" s="117"/>
      <c r="H10" s="40">
        <v>5</v>
      </c>
      <c r="I10" s="6"/>
      <c r="J10" s="6">
        <v>4</v>
      </c>
      <c r="K10" s="117"/>
      <c r="L10" s="40">
        <v>5</v>
      </c>
      <c r="M10" s="6"/>
      <c r="N10" s="6"/>
      <c r="O10" s="6"/>
      <c r="P10" s="6"/>
      <c r="Q10" s="6"/>
      <c r="R10" s="6"/>
      <c r="S10" s="6"/>
      <c r="T10" s="6"/>
      <c r="U10" s="6"/>
    </row>
    <row r="11" spans="1:21" ht="12" customHeight="1">
      <c r="A11" s="6"/>
      <c r="B11" s="6">
        <v>5</v>
      </c>
      <c r="C11" s="6"/>
      <c r="D11" s="40">
        <f aca="true" t="shared" si="0" ref="D11:D16">D10-1</f>
        <v>4</v>
      </c>
      <c r="E11" s="6"/>
      <c r="F11" s="6">
        <v>5</v>
      </c>
      <c r="G11" s="117"/>
      <c r="H11" s="40">
        <f aca="true" t="shared" si="1" ref="H11:H26">H10-1</f>
        <v>4</v>
      </c>
      <c r="I11" s="6"/>
      <c r="J11" s="6">
        <v>5</v>
      </c>
      <c r="K11" s="117"/>
      <c r="L11" s="40">
        <f aca="true" t="shared" si="2" ref="L11:L36">L10-1</f>
        <v>4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" customHeight="1">
      <c r="A12" s="6"/>
      <c r="B12" s="6">
        <v>6</v>
      </c>
      <c r="C12" s="6"/>
      <c r="D12" s="40">
        <f t="shared" si="0"/>
        <v>3</v>
      </c>
      <c r="E12" s="6"/>
      <c r="F12" s="6">
        <v>6</v>
      </c>
      <c r="G12" s="117"/>
      <c r="H12" s="40">
        <f t="shared" si="1"/>
        <v>3</v>
      </c>
      <c r="I12" s="6"/>
      <c r="J12" s="6">
        <v>6</v>
      </c>
      <c r="K12" s="117"/>
      <c r="L12" s="40">
        <f t="shared" si="2"/>
        <v>3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" customHeight="1">
      <c r="A13" s="6"/>
      <c r="B13" s="6">
        <v>7</v>
      </c>
      <c r="C13" s="6"/>
      <c r="D13" s="40">
        <f t="shared" si="0"/>
        <v>2</v>
      </c>
      <c r="E13" s="6"/>
      <c r="F13" s="6">
        <v>7</v>
      </c>
      <c r="G13" s="117"/>
      <c r="H13" s="40">
        <f t="shared" si="1"/>
        <v>2</v>
      </c>
      <c r="I13" s="6"/>
      <c r="J13" s="6">
        <v>7</v>
      </c>
      <c r="K13" s="117"/>
      <c r="L13" s="40">
        <f t="shared" si="2"/>
        <v>2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" customHeight="1">
      <c r="A14" s="6"/>
      <c r="B14" s="6">
        <v>8</v>
      </c>
      <c r="C14" s="6"/>
      <c r="D14" s="40">
        <f t="shared" si="0"/>
        <v>1</v>
      </c>
      <c r="E14" s="6"/>
      <c r="F14" s="6">
        <v>8</v>
      </c>
      <c r="G14" s="117"/>
      <c r="H14" s="40">
        <f t="shared" si="1"/>
        <v>1</v>
      </c>
      <c r="I14" s="6"/>
      <c r="J14" s="6">
        <v>8</v>
      </c>
      <c r="K14" s="117"/>
      <c r="L14" s="40">
        <f t="shared" si="2"/>
        <v>1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>
      <c r="A15" s="6"/>
      <c r="B15" s="6">
        <v>9</v>
      </c>
      <c r="C15" s="6"/>
      <c r="D15" s="40">
        <f t="shared" si="0"/>
        <v>0</v>
      </c>
      <c r="E15" s="118"/>
      <c r="F15" s="6">
        <v>9</v>
      </c>
      <c r="G15" s="117"/>
      <c r="H15" s="40">
        <f t="shared" si="1"/>
        <v>0</v>
      </c>
      <c r="I15" s="6"/>
      <c r="J15" s="6">
        <v>9</v>
      </c>
      <c r="K15" s="117"/>
      <c r="L15" s="40">
        <f t="shared" si="2"/>
        <v>0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12" customHeight="1">
      <c r="A16" s="6"/>
      <c r="B16" s="11">
        <v>10</v>
      </c>
      <c r="C16" s="11"/>
      <c r="D16" s="40">
        <f t="shared" si="0"/>
        <v>-1</v>
      </c>
      <c r="E16" s="119"/>
      <c r="F16" s="6">
        <v>10</v>
      </c>
      <c r="G16" s="117"/>
      <c r="H16" s="40">
        <f t="shared" si="1"/>
        <v>-1</v>
      </c>
      <c r="I16" s="6"/>
      <c r="J16" s="6">
        <v>10</v>
      </c>
      <c r="K16" s="117"/>
      <c r="L16" s="40">
        <f t="shared" si="2"/>
        <v>-1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" customHeight="1">
      <c r="A17" s="6"/>
      <c r="B17" s="106"/>
      <c r="C17" s="6"/>
      <c r="D17" s="6"/>
      <c r="E17" s="6"/>
      <c r="F17" s="6">
        <v>11</v>
      </c>
      <c r="G17" s="117"/>
      <c r="H17" s="40">
        <f t="shared" si="1"/>
        <v>-2</v>
      </c>
      <c r="I17" s="6"/>
      <c r="J17" s="6">
        <v>11</v>
      </c>
      <c r="K17" s="117"/>
      <c r="L17" s="40">
        <f t="shared" si="2"/>
        <v>-2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ht="12" customHeight="1" thickBot="1">
      <c r="A18" s="6"/>
      <c r="B18" s="46" t="s">
        <v>37</v>
      </c>
      <c r="C18" s="6"/>
      <c r="D18" s="122">
        <f>SUM(D7:D15)</f>
        <v>123</v>
      </c>
      <c r="E18" s="6"/>
      <c r="F18" s="6">
        <v>12</v>
      </c>
      <c r="G18" s="117"/>
      <c r="H18" s="40">
        <f t="shared" si="1"/>
        <v>-3</v>
      </c>
      <c r="I18" s="6"/>
      <c r="J18" s="6">
        <v>12</v>
      </c>
      <c r="K18" s="117"/>
      <c r="L18" s="40">
        <f t="shared" si="2"/>
        <v>-3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ht="12" customHeight="1">
      <c r="A19" s="11"/>
      <c r="B19" s="44" t="s">
        <v>38</v>
      </c>
      <c r="C19" s="6"/>
      <c r="D19" s="45">
        <f>B16</f>
        <v>10</v>
      </c>
      <c r="E19" s="6"/>
      <c r="F19" s="6">
        <v>13</v>
      </c>
      <c r="G19" s="117"/>
      <c r="H19" s="40">
        <f t="shared" si="1"/>
        <v>-4</v>
      </c>
      <c r="I19" s="6"/>
      <c r="J19" s="6">
        <v>13</v>
      </c>
      <c r="K19" s="117"/>
      <c r="L19" s="40">
        <f t="shared" si="2"/>
        <v>-4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ht="12" customHeight="1" thickBot="1">
      <c r="A20" s="6"/>
      <c r="B20" s="106"/>
      <c r="C20" s="117"/>
      <c r="D20" s="120"/>
      <c r="E20" s="6"/>
      <c r="F20" s="6">
        <v>14</v>
      </c>
      <c r="G20" s="117"/>
      <c r="H20" s="40">
        <f t="shared" si="1"/>
        <v>-5</v>
      </c>
      <c r="I20" s="6"/>
      <c r="J20" s="6">
        <v>14</v>
      </c>
      <c r="K20" s="117"/>
      <c r="L20" s="40">
        <f t="shared" si="2"/>
        <v>-5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ht="12" customHeight="1" thickBot="1">
      <c r="A21" s="6"/>
      <c r="B21" s="48" t="s">
        <v>39</v>
      </c>
      <c r="C21" s="50"/>
      <c r="D21" s="49">
        <f>AVERAGE(D16:D76)</f>
        <v>0</v>
      </c>
      <c r="E21" s="6"/>
      <c r="F21" s="6">
        <v>15</v>
      </c>
      <c r="G21" s="117"/>
      <c r="H21" s="40">
        <f t="shared" si="1"/>
        <v>-6</v>
      </c>
      <c r="I21" s="6"/>
      <c r="J21" s="6">
        <v>15</v>
      </c>
      <c r="K21" s="117"/>
      <c r="L21" s="40">
        <f t="shared" si="2"/>
        <v>-6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" customHeight="1">
      <c r="A22" s="6"/>
      <c r="B22" s="106"/>
      <c r="C22" s="6"/>
      <c r="D22" s="6"/>
      <c r="E22" s="6"/>
      <c r="F22" s="6">
        <v>16</v>
      </c>
      <c r="G22" s="117"/>
      <c r="H22" s="40">
        <f t="shared" si="1"/>
        <v>-7</v>
      </c>
      <c r="I22" s="6"/>
      <c r="J22" s="6">
        <v>16</v>
      </c>
      <c r="K22" s="117"/>
      <c r="L22" s="40">
        <f t="shared" si="2"/>
        <v>-7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ht="12" customHeight="1">
      <c r="A23" s="6"/>
      <c r="B23" s="106"/>
      <c r="C23" s="117"/>
      <c r="D23" s="117"/>
      <c r="E23" s="6"/>
      <c r="F23" s="6">
        <v>17</v>
      </c>
      <c r="G23" s="117"/>
      <c r="H23" s="40">
        <f t="shared" si="1"/>
        <v>-8</v>
      </c>
      <c r="I23" s="6"/>
      <c r="J23" s="6">
        <v>17</v>
      </c>
      <c r="K23" s="117"/>
      <c r="L23" s="40">
        <f t="shared" si="2"/>
        <v>-8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ht="12" customHeight="1">
      <c r="A24" s="6"/>
      <c r="B24" s="106"/>
      <c r="C24" s="117"/>
      <c r="D24" s="121"/>
      <c r="E24" s="6"/>
      <c r="F24" s="6">
        <v>18</v>
      </c>
      <c r="G24" s="117"/>
      <c r="H24" s="40">
        <f t="shared" si="1"/>
        <v>-9</v>
      </c>
      <c r="I24" s="6"/>
      <c r="J24" s="6">
        <v>18</v>
      </c>
      <c r="K24" s="117"/>
      <c r="L24" s="40">
        <f t="shared" si="2"/>
        <v>-9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ht="12" customHeight="1">
      <c r="A25" s="6"/>
      <c r="B25" s="6"/>
      <c r="C25" s="117"/>
      <c r="D25" s="6"/>
      <c r="E25" s="6"/>
      <c r="F25" s="6">
        <v>19</v>
      </c>
      <c r="G25" s="117"/>
      <c r="H25" s="40">
        <f t="shared" si="1"/>
        <v>-10</v>
      </c>
      <c r="I25" s="6"/>
      <c r="J25" s="6">
        <v>19</v>
      </c>
      <c r="K25" s="117"/>
      <c r="L25" s="40">
        <f t="shared" si="2"/>
        <v>-10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ht="12" customHeight="1">
      <c r="A26" s="6"/>
      <c r="B26" s="6"/>
      <c r="C26" s="117"/>
      <c r="D26" s="117"/>
      <c r="E26" s="6"/>
      <c r="F26" s="11">
        <v>20</v>
      </c>
      <c r="G26" s="11"/>
      <c r="H26" s="40">
        <f t="shared" si="1"/>
        <v>-11</v>
      </c>
      <c r="I26" s="6"/>
      <c r="J26" s="6">
        <v>20</v>
      </c>
      <c r="K26" s="117"/>
      <c r="L26" s="40">
        <f t="shared" si="2"/>
        <v>-11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12" customHeight="1">
      <c r="A27" s="6"/>
      <c r="B27" s="6"/>
      <c r="C27" s="6"/>
      <c r="D27" s="6"/>
      <c r="E27" s="6"/>
      <c r="F27" s="106"/>
      <c r="G27" s="6"/>
      <c r="H27" s="6"/>
      <c r="I27" s="6"/>
      <c r="J27" s="6">
        <v>21</v>
      </c>
      <c r="K27" s="117"/>
      <c r="L27" s="40">
        <f t="shared" si="2"/>
        <v>-12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ht="12" customHeight="1" thickBot="1">
      <c r="A28" s="6"/>
      <c r="B28" s="6"/>
      <c r="C28" s="6"/>
      <c r="D28" s="6"/>
      <c r="E28" s="6"/>
      <c r="F28" s="46" t="s">
        <v>37</v>
      </c>
      <c r="G28" s="6"/>
      <c r="H28" s="122">
        <f>SUM(H17:H25)</f>
        <v>-54</v>
      </c>
      <c r="I28" s="117"/>
      <c r="J28" s="6">
        <v>22</v>
      </c>
      <c r="K28" s="117"/>
      <c r="L28" s="40">
        <f t="shared" si="2"/>
        <v>-13</v>
      </c>
      <c r="M28" s="6"/>
      <c r="N28" s="6"/>
      <c r="O28" s="6"/>
      <c r="P28" s="6"/>
      <c r="Q28" s="6"/>
      <c r="R28" s="6"/>
      <c r="S28" s="6"/>
      <c r="T28" s="6"/>
      <c r="U28" s="6"/>
    </row>
    <row r="29" spans="1:21" ht="12" customHeight="1">
      <c r="A29" s="6"/>
      <c r="B29" s="6"/>
      <c r="C29" s="6"/>
      <c r="D29" s="6"/>
      <c r="E29" s="11"/>
      <c r="F29" s="44" t="s">
        <v>38</v>
      </c>
      <c r="G29" s="6"/>
      <c r="H29" s="45">
        <f>F26</f>
        <v>20</v>
      </c>
      <c r="I29" s="117"/>
      <c r="J29" s="6">
        <v>23</v>
      </c>
      <c r="K29" s="117"/>
      <c r="L29" s="40">
        <f t="shared" si="2"/>
        <v>-14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ht="12" customHeight="1" thickBot="1">
      <c r="A30" s="6"/>
      <c r="B30" s="6"/>
      <c r="C30" s="6"/>
      <c r="D30" s="6"/>
      <c r="E30" s="6"/>
      <c r="F30" s="106"/>
      <c r="G30" s="117"/>
      <c r="H30" s="120"/>
      <c r="I30" s="117"/>
      <c r="J30" s="6">
        <v>24</v>
      </c>
      <c r="K30" s="117"/>
      <c r="L30" s="40">
        <f t="shared" si="2"/>
        <v>-15</v>
      </c>
      <c r="M30" s="6"/>
      <c r="N30" s="6"/>
      <c r="O30" s="6"/>
      <c r="P30" s="6"/>
      <c r="Q30" s="6"/>
      <c r="R30" s="6"/>
      <c r="S30" s="6"/>
      <c r="T30" s="6"/>
      <c r="U30" s="6"/>
    </row>
    <row r="31" spans="1:21" ht="12" customHeight="1" thickBot="1">
      <c r="A31" s="6"/>
      <c r="B31" s="6"/>
      <c r="C31" s="6"/>
      <c r="D31" s="6"/>
      <c r="E31" s="6"/>
      <c r="F31" s="48" t="s">
        <v>39</v>
      </c>
      <c r="G31" s="50"/>
      <c r="H31" s="49">
        <f>AVERAGE(H7:H26)</f>
        <v>2.85</v>
      </c>
      <c r="I31" s="6"/>
      <c r="J31" s="6">
        <v>25</v>
      </c>
      <c r="K31" s="117"/>
      <c r="L31" s="40">
        <f t="shared" si="2"/>
        <v>-16</v>
      </c>
      <c r="M31" s="6"/>
      <c r="N31" s="6"/>
      <c r="O31" s="6"/>
      <c r="P31" s="6"/>
      <c r="Q31" s="6"/>
      <c r="R31" s="6"/>
      <c r="S31" s="6"/>
      <c r="T31" s="6"/>
      <c r="U31" s="6"/>
    </row>
    <row r="32" spans="1:21" ht="12" customHeight="1">
      <c r="A32" s="6"/>
      <c r="B32" s="6"/>
      <c r="C32" s="6"/>
      <c r="D32" s="6"/>
      <c r="E32" s="6"/>
      <c r="F32" s="106"/>
      <c r="G32" s="6"/>
      <c r="H32" s="6"/>
      <c r="I32" s="6"/>
      <c r="J32" s="6">
        <v>26</v>
      </c>
      <c r="K32" s="117"/>
      <c r="L32" s="40">
        <f t="shared" si="2"/>
        <v>-17</v>
      </c>
      <c r="M32" s="6"/>
      <c r="N32" s="6"/>
      <c r="O32" s="6"/>
      <c r="P32" s="6"/>
      <c r="Q32" s="6"/>
      <c r="R32" s="6"/>
      <c r="S32" s="6"/>
      <c r="T32" s="6"/>
      <c r="U32" s="6"/>
    </row>
    <row r="33" spans="1:21" ht="12" customHeight="1">
      <c r="A33" s="6"/>
      <c r="B33" s="6"/>
      <c r="C33" s="6"/>
      <c r="D33" s="6"/>
      <c r="E33" s="6"/>
      <c r="F33" s="106"/>
      <c r="G33" s="6"/>
      <c r="H33" s="6"/>
      <c r="I33" s="6"/>
      <c r="J33" s="6">
        <v>27</v>
      </c>
      <c r="K33" s="117"/>
      <c r="L33" s="40">
        <f t="shared" si="2"/>
        <v>-18</v>
      </c>
      <c r="M33" s="6"/>
      <c r="N33" s="6"/>
      <c r="O33" s="6"/>
      <c r="P33" s="6"/>
      <c r="Q33" s="6"/>
      <c r="R33" s="6"/>
      <c r="S33" s="6"/>
      <c r="T33" s="6"/>
      <c r="U33" s="6"/>
    </row>
    <row r="34" spans="1:21" ht="12" customHeight="1">
      <c r="A34" s="6"/>
      <c r="B34" s="6"/>
      <c r="C34" s="6"/>
      <c r="D34" s="6"/>
      <c r="E34" s="6"/>
      <c r="F34" s="106"/>
      <c r="G34" s="6"/>
      <c r="H34" s="6"/>
      <c r="I34" s="6"/>
      <c r="J34" s="6">
        <v>28</v>
      </c>
      <c r="K34" s="117"/>
      <c r="L34" s="40">
        <f t="shared" si="2"/>
        <v>-19</v>
      </c>
      <c r="M34" s="6"/>
      <c r="N34" s="6"/>
      <c r="O34" s="6"/>
      <c r="P34" s="6"/>
      <c r="Q34" s="6"/>
      <c r="R34" s="6"/>
      <c r="S34" s="6"/>
      <c r="T34" s="6"/>
      <c r="U34" s="6"/>
    </row>
    <row r="35" spans="1:21" ht="12" customHeight="1">
      <c r="A35" s="6"/>
      <c r="B35" s="6"/>
      <c r="C35" s="6"/>
      <c r="D35" s="6"/>
      <c r="E35" s="6"/>
      <c r="F35" s="6"/>
      <c r="G35" s="6"/>
      <c r="H35" s="6"/>
      <c r="I35" s="6"/>
      <c r="J35" s="6">
        <v>29</v>
      </c>
      <c r="K35" s="117"/>
      <c r="L35" s="40">
        <f t="shared" si="2"/>
        <v>-20</v>
      </c>
      <c r="M35" s="6"/>
      <c r="N35" s="6"/>
      <c r="O35" s="6"/>
      <c r="P35" s="6"/>
      <c r="Q35" s="6"/>
      <c r="R35" s="6"/>
      <c r="S35" s="6"/>
      <c r="T35" s="6"/>
      <c r="U35" s="6"/>
    </row>
    <row r="36" spans="1:21" ht="12" customHeight="1">
      <c r="A36" s="6"/>
      <c r="B36" s="6"/>
      <c r="C36" s="6"/>
      <c r="D36" s="6"/>
      <c r="E36" s="6"/>
      <c r="F36" s="6"/>
      <c r="G36" s="6"/>
      <c r="H36" s="6"/>
      <c r="I36" s="6"/>
      <c r="J36" s="11">
        <v>30</v>
      </c>
      <c r="K36" s="11"/>
      <c r="L36" s="40">
        <f t="shared" si="2"/>
        <v>-21</v>
      </c>
      <c r="M36" s="6"/>
      <c r="N36" s="6"/>
      <c r="O36" s="6"/>
      <c r="P36" s="6"/>
      <c r="Q36" s="6"/>
      <c r="R36" s="6"/>
      <c r="S36" s="6"/>
      <c r="T36" s="6"/>
      <c r="U36" s="6"/>
    </row>
    <row r="37" spans="1:21" ht="12" customHeight="1">
      <c r="A37" s="6"/>
      <c r="B37" s="6"/>
      <c r="C37" s="6"/>
      <c r="D37" s="6"/>
      <c r="E37" s="6"/>
      <c r="F37" s="6"/>
      <c r="G37" s="6"/>
      <c r="H37" s="6"/>
      <c r="I37" s="6"/>
      <c r="J37" s="10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" customHeight="1" thickBot="1">
      <c r="A38" s="6"/>
      <c r="B38" s="6"/>
      <c r="C38" s="6"/>
      <c r="D38" s="6"/>
      <c r="E38" s="6"/>
      <c r="F38" s="6"/>
      <c r="G38" s="6"/>
      <c r="H38" s="6"/>
      <c r="I38" s="6"/>
      <c r="J38" s="46" t="s">
        <v>37</v>
      </c>
      <c r="K38" s="6"/>
      <c r="L38" s="122">
        <f>SUM(L27:L35)</f>
        <v>-144</v>
      </c>
      <c r="M38" s="117"/>
      <c r="N38" s="6"/>
      <c r="O38" s="6"/>
      <c r="P38" s="6"/>
      <c r="Q38" s="6"/>
      <c r="R38" s="6"/>
      <c r="S38" s="6"/>
      <c r="T38" s="6"/>
      <c r="U38" s="6"/>
    </row>
    <row r="39" spans="1:21" ht="12" customHeight="1">
      <c r="A39" s="6"/>
      <c r="B39" s="6"/>
      <c r="C39" s="6"/>
      <c r="D39" s="6"/>
      <c r="E39" s="6"/>
      <c r="F39" s="6"/>
      <c r="G39" s="6"/>
      <c r="H39" s="6"/>
      <c r="I39" s="11"/>
      <c r="J39" s="44" t="s">
        <v>38</v>
      </c>
      <c r="K39" s="6"/>
      <c r="L39" s="45">
        <f>J36</f>
        <v>30</v>
      </c>
      <c r="M39" s="117"/>
      <c r="N39" s="6"/>
      <c r="O39" s="6"/>
      <c r="P39" s="6"/>
      <c r="Q39" s="6"/>
      <c r="R39" s="6"/>
      <c r="S39" s="6"/>
      <c r="T39" s="6"/>
      <c r="U39" s="6"/>
    </row>
    <row r="40" spans="1:21" ht="12" customHeight="1" thickBot="1">
      <c r="A40" s="6"/>
      <c r="B40" s="6"/>
      <c r="C40" s="6"/>
      <c r="D40" s="6"/>
      <c r="E40" s="6"/>
      <c r="F40" s="6"/>
      <c r="G40" s="6"/>
      <c r="H40" s="6"/>
      <c r="I40" s="6"/>
      <c r="J40" s="106"/>
      <c r="K40" s="117"/>
      <c r="L40" s="120"/>
      <c r="M40" s="117"/>
      <c r="N40" s="6"/>
      <c r="O40" s="6"/>
      <c r="P40" s="6"/>
      <c r="Q40" s="6"/>
      <c r="R40" s="6"/>
      <c r="S40" s="6"/>
      <c r="T40" s="6"/>
      <c r="U40" s="6"/>
    </row>
    <row r="41" spans="1:21" ht="12" customHeight="1" thickBot="1">
      <c r="A41" s="6"/>
      <c r="B41" s="6"/>
      <c r="C41" s="6"/>
      <c r="D41" s="6"/>
      <c r="E41" s="6"/>
      <c r="F41" s="6"/>
      <c r="G41" s="6"/>
      <c r="H41" s="6"/>
      <c r="I41" s="6"/>
      <c r="J41" s="48" t="s">
        <v>39</v>
      </c>
      <c r="K41" s="50"/>
      <c r="L41" s="49">
        <f>AVERAGE(L7:L36)</f>
        <v>-3.6</v>
      </c>
      <c r="M41" s="6"/>
      <c r="N41" s="6"/>
      <c r="O41" s="6"/>
      <c r="P41" s="6"/>
      <c r="Q41" s="6"/>
      <c r="R41" s="6"/>
      <c r="S41" s="6"/>
      <c r="T41" s="6"/>
      <c r="U41" s="6"/>
    </row>
    <row r="42" spans="1:21" ht="12" customHeight="1">
      <c r="A42" s="6"/>
      <c r="B42" s="6"/>
      <c r="C42" s="6"/>
      <c r="D42" s="6"/>
      <c r="E42" s="6"/>
      <c r="F42" s="6"/>
      <c r="G42" s="6"/>
      <c r="H42" s="6"/>
      <c r="I42" s="6"/>
      <c r="J42" s="10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" customHeight="1">
      <c r="A43" s="6"/>
      <c r="B43" s="6"/>
      <c r="C43" s="6"/>
      <c r="D43" s="6"/>
      <c r="E43" s="6"/>
      <c r="F43" s="6"/>
      <c r="G43" s="6"/>
      <c r="H43" s="6"/>
      <c r="I43" s="6"/>
      <c r="J43" s="10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" customHeight="1">
      <c r="A44" s="6"/>
      <c r="B44" s="6"/>
      <c r="C44" s="6"/>
      <c r="D44" s="6"/>
      <c r="E44" s="6"/>
      <c r="F44" s="6"/>
      <c r="G44" s="6"/>
      <c r="H44" s="6"/>
      <c r="I44" s="6"/>
      <c r="J44" s="10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Y32"/>
  <sheetViews>
    <sheetView zoomScalePageLayoutView="0" workbookViewId="0" topLeftCell="A1">
      <selection activeCell="W26" sqref="W26"/>
    </sheetView>
  </sheetViews>
  <sheetFormatPr defaultColWidth="9.140625" defaultRowHeight="12.75"/>
  <cols>
    <col min="1" max="1" width="7.7109375" style="164" customWidth="1"/>
    <col min="2" max="2" width="9.140625" style="164" customWidth="1"/>
    <col min="3" max="3" width="8.28125" style="164" customWidth="1"/>
    <col min="4" max="4" width="11.140625" style="164" customWidth="1"/>
    <col min="5" max="5" width="10.28125" style="164" customWidth="1"/>
    <col min="6" max="6" width="8.00390625" style="164" customWidth="1"/>
    <col min="7" max="8" width="9.140625" style="164" customWidth="1"/>
    <col min="9" max="9" width="8.140625" style="164" customWidth="1"/>
    <col min="10" max="10" width="2.57421875" style="164" customWidth="1"/>
    <col min="11" max="11" width="10.140625" style="164" customWidth="1"/>
    <col min="12" max="12" width="4.421875" style="164" customWidth="1"/>
    <col min="13" max="13" width="9.140625" style="164" customWidth="1"/>
    <col min="14" max="14" width="3.421875" style="164" customWidth="1"/>
    <col min="15" max="15" width="9.140625" style="164" customWidth="1"/>
    <col min="16" max="16" width="2.28125" style="164" customWidth="1"/>
    <col min="17" max="17" width="9.140625" style="164" customWidth="1"/>
    <col min="18" max="18" width="3.57421875" style="164" customWidth="1"/>
    <col min="19" max="19" width="9.140625" style="164" customWidth="1"/>
    <col min="20" max="20" width="9.00390625" style="164" customWidth="1"/>
    <col min="21" max="21" width="4.140625" style="164" customWidth="1"/>
    <col min="22" max="22" width="5.8515625" style="164" customWidth="1"/>
    <col min="23" max="23" width="11.00390625" style="164" customWidth="1"/>
    <col min="24" max="24" width="4.421875" style="164" customWidth="1"/>
    <col min="25" max="16384" width="9.140625" style="164" customWidth="1"/>
  </cols>
  <sheetData>
    <row r="2" spans="1:6" ht="18">
      <c r="A2" s="36"/>
      <c r="B2" s="345" t="s">
        <v>40</v>
      </c>
      <c r="C2" s="345" t="s">
        <v>359</v>
      </c>
      <c r="D2" s="345" t="s">
        <v>360</v>
      </c>
      <c r="E2" s="345" t="s">
        <v>361</v>
      </c>
      <c r="F2" s="345" t="s">
        <v>362</v>
      </c>
    </row>
    <row r="3" spans="1:8" ht="15.75">
      <c r="A3" s="36">
        <v>1</v>
      </c>
      <c r="B3" s="348">
        <v>2</v>
      </c>
      <c r="C3" s="348">
        <v>3</v>
      </c>
      <c r="D3" s="339">
        <f>B3*C3</f>
        <v>6</v>
      </c>
      <c r="E3" s="339">
        <f>B3*B3</f>
        <v>4</v>
      </c>
      <c r="F3" s="339">
        <f>C3*C3</f>
        <v>9</v>
      </c>
      <c r="H3" s="558"/>
    </row>
    <row r="4" spans="1:8" ht="15.75">
      <c r="A4" s="36">
        <v>2</v>
      </c>
      <c r="B4" s="348">
        <v>5</v>
      </c>
      <c r="C4" s="348">
        <v>8</v>
      </c>
      <c r="D4" s="339">
        <f aca="true" t="shared" si="0" ref="D4:D11">B4*C4</f>
        <v>40</v>
      </c>
      <c r="E4" s="339">
        <f aca="true" t="shared" si="1" ref="E4:E11">B4*B4</f>
        <v>25</v>
      </c>
      <c r="F4" s="339">
        <f aca="true" t="shared" si="2" ref="F4:F11">C4*C4</f>
        <v>64</v>
      </c>
      <c r="H4" s="558"/>
    </row>
    <row r="5" spans="1:6" ht="15.75">
      <c r="A5" s="36">
        <v>3</v>
      </c>
      <c r="B5" s="348">
        <f aca="true" t="shared" si="3" ref="B5:B12">B4+2</f>
        <v>7</v>
      </c>
      <c r="C5" s="348">
        <v>12</v>
      </c>
      <c r="D5" s="339">
        <f t="shared" si="0"/>
        <v>84</v>
      </c>
      <c r="E5" s="339">
        <f t="shared" si="1"/>
        <v>49</v>
      </c>
      <c r="F5" s="339">
        <f t="shared" si="2"/>
        <v>144</v>
      </c>
    </row>
    <row r="6" spans="1:15" ht="15.75">
      <c r="A6" s="36">
        <v>4</v>
      </c>
      <c r="B6" s="348">
        <f t="shared" si="3"/>
        <v>9</v>
      </c>
      <c r="C6" s="348">
        <v>11</v>
      </c>
      <c r="D6" s="339">
        <f t="shared" si="0"/>
        <v>99</v>
      </c>
      <c r="E6" s="339">
        <f t="shared" si="1"/>
        <v>81</v>
      </c>
      <c r="F6" s="339">
        <f t="shared" si="2"/>
        <v>121</v>
      </c>
      <c r="I6" s="164" t="s">
        <v>143</v>
      </c>
      <c r="K6" s="164" t="s">
        <v>365</v>
      </c>
      <c r="M6" s="164" t="s">
        <v>366</v>
      </c>
      <c r="O6" s="164" t="s">
        <v>367</v>
      </c>
    </row>
    <row r="7" spans="1:25" ht="18.75" thickBot="1">
      <c r="A7" s="36">
        <v>5</v>
      </c>
      <c r="B7" s="348">
        <f t="shared" si="3"/>
        <v>11</v>
      </c>
      <c r="C7" s="348">
        <v>11</v>
      </c>
      <c r="D7" s="339">
        <f t="shared" si="0"/>
        <v>121</v>
      </c>
      <c r="E7" s="339">
        <f t="shared" si="1"/>
        <v>121</v>
      </c>
      <c r="F7" s="339">
        <f t="shared" si="2"/>
        <v>121</v>
      </c>
      <c r="G7" s="347" t="s">
        <v>375</v>
      </c>
      <c r="H7" s="382"/>
      <c r="I7" s="394">
        <f>E15</f>
        <v>10</v>
      </c>
      <c r="J7" s="389" t="s">
        <v>364</v>
      </c>
      <c r="K7" s="394">
        <f>D13</f>
        <v>1452</v>
      </c>
      <c r="L7" s="392" t="s">
        <v>322</v>
      </c>
      <c r="M7" s="394">
        <f>B13</f>
        <v>119</v>
      </c>
      <c r="N7" s="389" t="s">
        <v>364</v>
      </c>
      <c r="O7" s="394">
        <f>C13</f>
        <v>109</v>
      </c>
      <c r="P7" s="395"/>
      <c r="Q7" s="395"/>
      <c r="R7" s="395"/>
      <c r="S7" s="395"/>
      <c r="T7" s="395"/>
      <c r="U7" s="382"/>
      <c r="V7" s="340" t="s">
        <v>303</v>
      </c>
      <c r="W7" s="360">
        <f>I7*K7-M7*O7</f>
        <v>1549</v>
      </c>
      <c r="X7" s="340" t="s">
        <v>303</v>
      </c>
      <c r="Y7" s="342">
        <f>W7/W8</f>
        <v>0.8096795844130817</v>
      </c>
    </row>
    <row r="8" spans="1:25" ht="16.5" thickBot="1">
      <c r="A8" s="36">
        <v>6</v>
      </c>
      <c r="B8" s="348">
        <f t="shared" si="3"/>
        <v>13</v>
      </c>
      <c r="C8" s="348">
        <v>12</v>
      </c>
      <c r="D8" s="339">
        <f t="shared" si="0"/>
        <v>156</v>
      </c>
      <c r="E8" s="339">
        <f t="shared" si="1"/>
        <v>169</v>
      </c>
      <c r="F8" s="339">
        <f t="shared" si="2"/>
        <v>144</v>
      </c>
      <c r="H8" s="382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W8" s="406">
        <f>SQRT((I10*K10-M10)*(O10*Q10-S10))</f>
        <v>1913.102454130463</v>
      </c>
      <c r="Y8" s="352"/>
    </row>
    <row r="9" spans="1:20" ht="15.75">
      <c r="A9" s="36">
        <v>7</v>
      </c>
      <c r="B9" s="348">
        <f t="shared" si="3"/>
        <v>15</v>
      </c>
      <c r="C9" s="348">
        <v>13</v>
      </c>
      <c r="D9" s="339">
        <f t="shared" si="0"/>
        <v>195</v>
      </c>
      <c r="E9" s="339">
        <f t="shared" si="1"/>
        <v>225</v>
      </c>
      <c r="F9" s="339">
        <f t="shared" si="2"/>
        <v>169</v>
      </c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</row>
    <row r="10" spans="1:20" ht="18">
      <c r="A10" s="111">
        <v>8</v>
      </c>
      <c r="B10" s="348">
        <f t="shared" si="3"/>
        <v>17</v>
      </c>
      <c r="C10" s="348">
        <v>11</v>
      </c>
      <c r="D10" s="339">
        <f t="shared" si="0"/>
        <v>187</v>
      </c>
      <c r="E10" s="339">
        <f t="shared" si="1"/>
        <v>289</v>
      </c>
      <c r="F10" s="339">
        <f t="shared" si="2"/>
        <v>121</v>
      </c>
      <c r="H10" s="390" t="s">
        <v>368</v>
      </c>
      <c r="I10" s="396">
        <f>E15</f>
        <v>10</v>
      </c>
      <c r="J10" s="397" t="s">
        <v>364</v>
      </c>
      <c r="K10" s="396">
        <f>E13</f>
        <v>1765</v>
      </c>
      <c r="L10" s="393" t="s">
        <v>322</v>
      </c>
      <c r="M10" s="396">
        <f>B13*B13</f>
        <v>14161</v>
      </c>
      <c r="N10" s="380" t="s">
        <v>369</v>
      </c>
      <c r="O10" s="396">
        <f>E15</f>
        <v>10</v>
      </c>
      <c r="P10" s="398" t="s">
        <v>364</v>
      </c>
      <c r="Q10" s="396">
        <f>F13</f>
        <v>1293</v>
      </c>
      <c r="R10" s="393" t="s">
        <v>322</v>
      </c>
      <c r="S10" s="396">
        <f>C13*C13</f>
        <v>11881</v>
      </c>
      <c r="T10" s="380" t="s">
        <v>370</v>
      </c>
    </row>
    <row r="11" spans="1:24" ht="18">
      <c r="A11" s="111">
        <v>9</v>
      </c>
      <c r="B11" s="348">
        <f t="shared" si="3"/>
        <v>19</v>
      </c>
      <c r="C11" s="348">
        <v>12</v>
      </c>
      <c r="D11" s="339">
        <f t="shared" si="0"/>
        <v>228</v>
      </c>
      <c r="E11" s="339">
        <f t="shared" si="1"/>
        <v>361</v>
      </c>
      <c r="F11" s="339">
        <f t="shared" si="2"/>
        <v>144</v>
      </c>
      <c r="G11" s="337"/>
      <c r="H11" s="558"/>
      <c r="I11" s="388" t="s">
        <v>143</v>
      </c>
      <c r="J11" s="377"/>
      <c r="K11" s="377" t="s">
        <v>371</v>
      </c>
      <c r="L11" s="388"/>
      <c r="M11" s="399" t="s">
        <v>372</v>
      </c>
      <c r="N11" s="388"/>
      <c r="O11" s="388" t="s">
        <v>143</v>
      </c>
      <c r="P11" s="388"/>
      <c r="Q11" s="380" t="s">
        <v>373</v>
      </c>
      <c r="R11" s="334"/>
      <c r="S11" s="399" t="s">
        <v>374</v>
      </c>
      <c r="T11" s="380"/>
      <c r="U11" s="330"/>
      <c r="V11" s="347" t="s">
        <v>382</v>
      </c>
      <c r="W11" s="407">
        <f>Y7*Y7*100</f>
        <v>65.55810294153407</v>
      </c>
      <c r="X11" s="330" t="s">
        <v>383</v>
      </c>
    </row>
    <row r="12" spans="1:11" ht="16.5" thickBot="1">
      <c r="A12" s="111">
        <v>10</v>
      </c>
      <c r="B12" s="348">
        <f t="shared" si="3"/>
        <v>21</v>
      </c>
      <c r="C12" s="348">
        <v>16</v>
      </c>
      <c r="D12" s="339">
        <f>B12*C12</f>
        <v>336</v>
      </c>
      <c r="E12" s="339">
        <f>B12*B12</f>
        <v>441</v>
      </c>
      <c r="F12" s="339">
        <f>C12*C12</f>
        <v>256</v>
      </c>
      <c r="G12" s="337"/>
      <c r="H12" s="558"/>
      <c r="J12" s="376"/>
      <c r="K12" s="377"/>
    </row>
    <row r="13" spans="1:21" ht="16.5" thickBot="1">
      <c r="A13" s="373" t="s">
        <v>363</v>
      </c>
      <c r="B13" s="374">
        <f>SUM(B3:B12)</f>
        <v>119</v>
      </c>
      <c r="C13" s="374">
        <f>SUM(C3:C12)</f>
        <v>109</v>
      </c>
      <c r="D13" s="374">
        <f>SUM(D3:D12)</f>
        <v>1452</v>
      </c>
      <c r="E13" s="374">
        <f>SUM(E3:E12)</f>
        <v>1765</v>
      </c>
      <c r="F13" s="375">
        <f>SUM(F3:F12)</f>
        <v>1293</v>
      </c>
      <c r="G13" s="337"/>
      <c r="H13" s="377"/>
      <c r="J13" s="395"/>
      <c r="K13" s="395"/>
      <c r="L13" s="395"/>
      <c r="M13" s="395"/>
      <c r="Q13" s="354"/>
      <c r="R13" s="355"/>
      <c r="S13" s="383"/>
      <c r="T13" s="383"/>
      <c r="U13" s="384"/>
    </row>
    <row r="14" spans="7:21" ht="15.75">
      <c r="G14" s="337"/>
      <c r="H14" s="377"/>
      <c r="Q14" s="356"/>
      <c r="R14" s="330"/>
      <c r="S14" s="344" t="s">
        <v>335</v>
      </c>
      <c r="T14" s="342">
        <f>O15</f>
        <v>3.902246055148936</v>
      </c>
      <c r="U14" s="358"/>
    </row>
    <row r="15" spans="4:21" ht="18.75" thickBot="1">
      <c r="D15" s="403" t="s">
        <v>229</v>
      </c>
      <c r="E15" s="391">
        <v>10</v>
      </c>
      <c r="G15" s="347" t="s">
        <v>376</v>
      </c>
      <c r="H15" s="339">
        <f>Y7</f>
        <v>0.8096795844130817</v>
      </c>
      <c r="J15" s="379"/>
      <c r="K15" s="360">
        <f>E15</f>
        <v>10</v>
      </c>
      <c r="L15" s="392" t="s">
        <v>379</v>
      </c>
      <c r="M15" s="395"/>
      <c r="N15" s="340" t="s">
        <v>303</v>
      </c>
      <c r="O15" s="342">
        <f>H15*SQRT((K15-2)/(1-M16))</f>
        <v>3.902246055148936</v>
      </c>
      <c r="Q15" s="356"/>
      <c r="R15" s="338"/>
      <c r="S15" s="338" t="s">
        <v>306</v>
      </c>
      <c r="T15" s="339">
        <f>E15-2</f>
        <v>8</v>
      </c>
      <c r="U15" s="385"/>
    </row>
    <row r="16" spans="7:21" ht="18">
      <c r="G16" s="337"/>
      <c r="H16" s="377"/>
      <c r="J16" s="379"/>
      <c r="K16" s="379"/>
      <c r="L16" s="393" t="s">
        <v>377</v>
      </c>
      <c r="M16" s="405">
        <f>H15*H15</f>
        <v>0.6555810294153408</v>
      </c>
      <c r="Q16" s="356"/>
      <c r="R16" s="330"/>
      <c r="S16" s="341"/>
      <c r="T16" s="330"/>
      <c r="U16" s="385"/>
    </row>
    <row r="17" spans="7:21" ht="15.75">
      <c r="G17" s="337"/>
      <c r="H17" s="377" t="s">
        <v>380</v>
      </c>
      <c r="J17" s="379"/>
      <c r="K17" s="377" t="s">
        <v>143</v>
      </c>
      <c r="L17" s="379"/>
      <c r="M17" s="388" t="s">
        <v>378</v>
      </c>
      <c r="Q17" s="356"/>
      <c r="R17" s="344" t="s">
        <v>308</v>
      </c>
      <c r="S17" s="342">
        <f>TDIST(ABS(T14),T15,1)</f>
        <v>0.0022651416605564373</v>
      </c>
      <c r="T17" s="330" t="s">
        <v>333</v>
      </c>
      <c r="U17" s="385"/>
    </row>
    <row r="18" spans="1:21" ht="16.5" thickBot="1">
      <c r="A18" s="36"/>
      <c r="F18" s="378"/>
      <c r="Q18" s="386"/>
      <c r="R18" s="382"/>
      <c r="S18" s="404">
        <f>S17*2</f>
        <v>0.0045302833211128745</v>
      </c>
      <c r="T18" s="325" t="s">
        <v>381</v>
      </c>
      <c r="U18" s="387"/>
    </row>
    <row r="19" spans="6:19" ht="15.75">
      <c r="F19" s="401"/>
      <c r="G19" s="379"/>
      <c r="H19" s="111"/>
      <c r="I19" s="111"/>
      <c r="J19" s="337"/>
      <c r="K19" s="337"/>
      <c r="L19" s="400"/>
      <c r="M19" s="337"/>
      <c r="N19" s="337"/>
      <c r="O19" s="379"/>
      <c r="P19" s="401"/>
      <c r="Q19" s="337"/>
      <c r="R19" s="400"/>
      <c r="S19" s="111"/>
    </row>
    <row r="20" spans="2:19" ht="15.75">
      <c r="B20" s="111"/>
      <c r="C20" s="111"/>
      <c r="D20" s="338"/>
      <c r="E20" s="337"/>
      <c r="F20" s="379"/>
      <c r="G20" s="401"/>
      <c r="H20" s="400"/>
      <c r="I20" s="111"/>
      <c r="J20" s="111"/>
      <c r="K20" s="111"/>
      <c r="L20" s="111"/>
      <c r="M20" s="111"/>
      <c r="N20" s="111"/>
      <c r="O20" s="379"/>
      <c r="P20" s="379"/>
      <c r="Q20" s="352"/>
      <c r="R20" s="379"/>
      <c r="S20" s="352"/>
    </row>
    <row r="21" spans="2:19" ht="15.75">
      <c r="B21" s="111"/>
      <c r="C21" s="338"/>
      <c r="D21" s="337"/>
      <c r="E21" s="111"/>
      <c r="F21" s="379"/>
      <c r="G21" s="379"/>
      <c r="H21" s="111"/>
      <c r="I21" s="111"/>
      <c r="J21" s="111"/>
      <c r="K21" s="111"/>
      <c r="L21" s="111"/>
      <c r="M21" s="111"/>
      <c r="N21" s="111"/>
      <c r="O21" s="379"/>
      <c r="P21" s="379"/>
      <c r="Q21" s="379"/>
      <c r="R21" s="379"/>
      <c r="S21" s="379"/>
    </row>
    <row r="22" spans="2:25" ht="18">
      <c r="B22" s="111"/>
      <c r="C22" s="338"/>
      <c r="D22" s="337"/>
      <c r="E22" s="111"/>
      <c r="F22" s="379"/>
      <c r="G22" s="379"/>
      <c r="H22" s="111"/>
      <c r="I22" s="111"/>
      <c r="J22" s="337"/>
      <c r="K22" s="341"/>
      <c r="L22" s="400"/>
      <c r="M22" s="337"/>
      <c r="N22" s="402"/>
      <c r="O22" s="379"/>
      <c r="P22" s="379"/>
      <c r="Q22" s="379"/>
      <c r="R22" s="379"/>
      <c r="S22" s="379"/>
      <c r="Y22" s="330"/>
    </row>
    <row r="23" spans="2:25" ht="15.75">
      <c r="B23" s="111"/>
      <c r="C23" s="111"/>
      <c r="D23" s="111"/>
      <c r="E23" s="111"/>
      <c r="F23" s="379"/>
      <c r="G23" s="379"/>
      <c r="H23" s="111"/>
      <c r="I23" s="111"/>
      <c r="J23" s="337"/>
      <c r="K23" s="337"/>
      <c r="L23" s="337"/>
      <c r="M23" s="337"/>
      <c r="N23" s="337"/>
      <c r="O23" s="379"/>
      <c r="P23" s="379"/>
      <c r="Q23" s="379"/>
      <c r="R23" s="379"/>
      <c r="S23" s="337"/>
      <c r="Y23" s="36"/>
    </row>
    <row r="24" spans="2:19" ht="15.75">
      <c r="B24" s="111"/>
      <c r="C24" s="338"/>
      <c r="D24" s="337"/>
      <c r="E24" s="111"/>
      <c r="F24" s="379"/>
      <c r="G24" s="379"/>
      <c r="H24" s="111"/>
      <c r="I24" s="111"/>
      <c r="J24" s="337"/>
      <c r="K24" s="111"/>
      <c r="L24" s="111"/>
      <c r="M24" s="337"/>
      <c r="N24" s="337"/>
      <c r="O24" s="379"/>
      <c r="P24" s="379"/>
      <c r="Q24" s="379"/>
      <c r="R24" s="379"/>
      <c r="S24" s="379"/>
    </row>
    <row r="25" spans="2:19" ht="15.75">
      <c r="B25" s="379"/>
      <c r="C25" s="379"/>
      <c r="D25" s="379"/>
      <c r="E25" s="379"/>
      <c r="F25" s="379"/>
      <c r="G25" s="379"/>
      <c r="H25" s="111"/>
      <c r="I25" s="111"/>
      <c r="J25" s="111"/>
      <c r="K25" s="111"/>
      <c r="L25" s="111"/>
      <c r="M25" s="111"/>
      <c r="N25" s="111"/>
      <c r="O25" s="379"/>
      <c r="P25" s="379"/>
      <c r="Q25" s="379"/>
      <c r="R25" s="379"/>
      <c r="S25" s="379"/>
    </row>
    <row r="26" spans="2:25" ht="15.75">
      <c r="B26" s="379"/>
      <c r="C26" s="379"/>
      <c r="D26" s="379"/>
      <c r="E26" s="379"/>
      <c r="F26" s="379"/>
      <c r="G26" s="379"/>
      <c r="H26" s="111"/>
      <c r="I26" s="111"/>
      <c r="J26" s="111"/>
      <c r="K26" s="111"/>
      <c r="L26" s="111"/>
      <c r="M26" s="111"/>
      <c r="N26" s="111"/>
      <c r="O26" s="379"/>
      <c r="P26" s="379"/>
      <c r="Q26" s="379"/>
      <c r="R26" s="379"/>
      <c r="S26" s="379"/>
      <c r="Y26" s="378"/>
    </row>
    <row r="27" spans="2:19" ht="15">
      <c r="B27" s="379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</row>
    <row r="28" spans="2:19" ht="15.75">
      <c r="B28" s="379"/>
      <c r="C28" s="379"/>
      <c r="D28" s="379"/>
      <c r="E28" s="379"/>
      <c r="F28" s="379"/>
      <c r="G28" s="379"/>
      <c r="H28" s="379"/>
      <c r="I28" s="379"/>
      <c r="J28" s="337"/>
      <c r="K28" s="379"/>
      <c r="L28" s="379"/>
      <c r="M28" s="379"/>
      <c r="N28" s="379"/>
      <c r="O28" s="379"/>
      <c r="P28" s="379"/>
      <c r="Q28" s="379"/>
      <c r="R28" s="379"/>
      <c r="S28" s="379"/>
    </row>
    <row r="29" spans="2:25" ht="15"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81"/>
      <c r="U29" s="381"/>
      <c r="V29" s="381"/>
      <c r="W29" s="381"/>
      <c r="X29" s="381"/>
      <c r="Y29" s="381"/>
    </row>
    <row r="30" spans="2:5" ht="15.75">
      <c r="B30" s="379"/>
      <c r="C30" s="338"/>
      <c r="D30" s="338"/>
      <c r="E30" s="379"/>
    </row>
    <row r="31" spans="2:5" ht="15">
      <c r="B31" s="379"/>
      <c r="C31" s="379"/>
      <c r="D31" s="379"/>
      <c r="E31" s="379"/>
    </row>
    <row r="32" s="408" customFormat="1" ht="15">
      <c r="E32" s="409"/>
    </row>
  </sheetData>
  <sheetProtection/>
  <mergeCells count="2">
    <mergeCell ref="H3:H4"/>
    <mergeCell ref="H11:H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AK48"/>
  <sheetViews>
    <sheetView zoomScale="80" zoomScaleNormal="80" zoomScalePageLayoutView="0" workbookViewId="0" topLeftCell="I2">
      <selection activeCell="Q40" sqref="Q40"/>
    </sheetView>
  </sheetViews>
  <sheetFormatPr defaultColWidth="9.140625" defaultRowHeight="12.75"/>
  <cols>
    <col min="1" max="1" width="2.00390625" style="28" customWidth="1"/>
    <col min="2" max="2" width="12.57421875" style="28" customWidth="1"/>
    <col min="3" max="3" width="10.7109375" style="28" customWidth="1"/>
    <col min="4" max="5" width="9.140625" style="28" customWidth="1"/>
    <col min="6" max="6" width="3.00390625" style="28" customWidth="1"/>
    <col min="7" max="7" width="28.421875" style="28" customWidth="1"/>
    <col min="8" max="8" width="16.00390625" style="28" customWidth="1"/>
    <col min="9" max="9" width="7.00390625" style="28" customWidth="1"/>
    <col min="10" max="10" width="18.140625" style="28" customWidth="1"/>
    <col min="11" max="11" width="8.57421875" style="28" customWidth="1"/>
    <col min="12" max="12" width="11.57421875" style="28" customWidth="1"/>
    <col min="13" max="13" width="6.7109375" style="28" customWidth="1"/>
    <col min="14" max="14" width="15.140625" style="28" customWidth="1"/>
    <col min="15" max="15" width="1.8515625" style="489" customWidth="1"/>
    <col min="16" max="16" width="13.421875" style="28" customWidth="1"/>
    <col min="17" max="19" width="9.140625" style="28" customWidth="1"/>
    <col min="20" max="20" width="11.421875" style="28" customWidth="1"/>
    <col min="21" max="21" width="3.00390625" style="28" customWidth="1"/>
    <col min="22" max="22" width="29.140625" style="28" customWidth="1"/>
    <col min="23" max="23" width="14.7109375" style="28" customWidth="1"/>
    <col min="24" max="24" width="11.00390625" style="28" customWidth="1"/>
    <col min="25" max="25" width="15.421875" style="28" customWidth="1"/>
    <col min="26" max="26" width="10.28125" style="28" bestFit="1" customWidth="1"/>
    <col min="27" max="27" width="5.8515625" style="28" customWidth="1"/>
    <col min="28" max="28" width="7.8515625" style="28" customWidth="1"/>
    <col min="29" max="30" width="9.140625" style="28" customWidth="1"/>
    <col min="31" max="31" width="19.00390625" style="28" customWidth="1"/>
    <col min="32" max="16384" width="9.140625" style="28" customWidth="1"/>
  </cols>
  <sheetData>
    <row r="1" ht="12.75">
      <c r="C1" s="28" t="s">
        <v>494</v>
      </c>
    </row>
    <row r="2" spans="16:34" ht="12.75"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5">
        <v>12</v>
      </c>
      <c r="AF2" s="485">
        <v>24</v>
      </c>
      <c r="AG2" s="485">
        <v>12</v>
      </c>
      <c r="AH2" s="485">
        <v>18</v>
      </c>
    </row>
    <row r="3" spans="3:34" ht="12.75">
      <c r="C3" s="275" t="s">
        <v>434</v>
      </c>
      <c r="D3" s="275" t="s">
        <v>435</v>
      </c>
      <c r="E3" s="275" t="s">
        <v>436</v>
      </c>
      <c r="F3" s="371"/>
      <c r="G3" s="484" t="s">
        <v>461</v>
      </c>
      <c r="H3" s="485">
        <v>3</v>
      </c>
      <c r="J3" s="486"/>
      <c r="K3" s="487"/>
      <c r="L3" s="487"/>
      <c r="M3" s="488"/>
      <c r="P3" s="483"/>
      <c r="Q3" s="275" t="s">
        <v>434</v>
      </c>
      <c r="R3" s="275" t="s">
        <v>435</v>
      </c>
      <c r="S3" s="275" t="s">
        <v>436</v>
      </c>
      <c r="T3" s="275" t="s">
        <v>437</v>
      </c>
      <c r="U3" s="168"/>
      <c r="V3" s="479" t="s">
        <v>461</v>
      </c>
      <c r="W3" s="485">
        <v>4</v>
      </c>
      <c r="X3" s="483"/>
      <c r="Y3" s="486"/>
      <c r="Z3" s="487"/>
      <c r="AA3" s="487"/>
      <c r="AB3" s="488"/>
      <c r="AC3" s="483"/>
      <c r="AD3" s="483"/>
      <c r="AE3" s="485">
        <v>15</v>
      </c>
      <c r="AF3" s="485">
        <v>12</v>
      </c>
      <c r="AG3" s="485">
        <v>14</v>
      </c>
      <c r="AH3" s="485">
        <v>3</v>
      </c>
    </row>
    <row r="4" spans="2:34" ht="12.75">
      <c r="B4" s="28">
        <v>1</v>
      </c>
      <c r="C4" s="485">
        <v>10</v>
      </c>
      <c r="D4" s="485">
        <v>6</v>
      </c>
      <c r="E4" s="485">
        <v>5</v>
      </c>
      <c r="F4" s="371"/>
      <c r="G4" s="490" t="s">
        <v>462</v>
      </c>
      <c r="H4" s="169">
        <f>SUM(C11:E11)</f>
        <v>15</v>
      </c>
      <c r="J4" s="491"/>
      <c r="K4" s="492"/>
      <c r="L4" s="492"/>
      <c r="M4" s="493"/>
      <c r="N4" s="28" t="s">
        <v>456</v>
      </c>
      <c r="P4" s="483">
        <v>1</v>
      </c>
      <c r="Q4" s="485">
        <v>12</v>
      </c>
      <c r="R4" s="485">
        <v>24</v>
      </c>
      <c r="S4" s="485">
        <v>12</v>
      </c>
      <c r="T4" s="485">
        <v>18</v>
      </c>
      <c r="U4" s="168"/>
      <c r="V4" s="479" t="s">
        <v>462</v>
      </c>
      <c r="W4" s="169">
        <f>SUM(Q14:T14)</f>
        <v>18</v>
      </c>
      <c r="X4" s="483"/>
      <c r="Y4" s="491"/>
      <c r="Z4" s="492"/>
      <c r="AA4" s="492"/>
      <c r="AB4" s="493"/>
      <c r="AC4" s="483" t="s">
        <v>456</v>
      </c>
      <c r="AD4" s="483"/>
      <c r="AE4" s="485">
        <v>18</v>
      </c>
      <c r="AF4" s="485">
        <v>2</v>
      </c>
      <c r="AG4" s="485">
        <v>2</v>
      </c>
      <c r="AH4" s="485">
        <v>4</v>
      </c>
    </row>
    <row r="5" spans="2:34" ht="12.75">
      <c r="B5" s="28">
        <v>2</v>
      </c>
      <c r="C5" s="485">
        <v>12</v>
      </c>
      <c r="D5" s="485">
        <v>8</v>
      </c>
      <c r="E5" s="485">
        <v>9</v>
      </c>
      <c r="F5" s="371"/>
      <c r="J5" s="491"/>
      <c r="K5" s="492"/>
      <c r="L5" s="492"/>
      <c r="M5" s="369">
        <f>SUM(C17:E17)/(H3-1)</f>
        <v>80.06666666666669</v>
      </c>
      <c r="N5" s="28" t="s">
        <v>452</v>
      </c>
      <c r="P5" s="483">
        <v>2</v>
      </c>
      <c r="Q5" s="485">
        <v>15</v>
      </c>
      <c r="R5" s="485">
        <v>12</v>
      </c>
      <c r="S5" s="485">
        <v>14</v>
      </c>
      <c r="T5" s="485">
        <v>3</v>
      </c>
      <c r="U5" s="168"/>
      <c r="V5" s="483"/>
      <c r="X5" s="483"/>
      <c r="Y5" s="491"/>
      <c r="Z5" s="492"/>
      <c r="AA5" s="492"/>
      <c r="AB5" s="494">
        <f>SUM(Q20:T20)/(W3-1)</f>
        <v>72.44444444444444</v>
      </c>
      <c r="AC5" s="483" t="s">
        <v>452</v>
      </c>
      <c r="AD5" s="483"/>
      <c r="AE5" s="485">
        <v>17</v>
      </c>
      <c r="AF5" s="485">
        <v>3</v>
      </c>
      <c r="AG5" s="485">
        <v>2</v>
      </c>
      <c r="AH5" s="485"/>
    </row>
    <row r="6" spans="2:34" ht="12.75">
      <c r="B6" s="28">
        <v>3</v>
      </c>
      <c r="C6" s="485">
        <v>9</v>
      </c>
      <c r="D6" s="485">
        <v>3</v>
      </c>
      <c r="E6" s="485">
        <v>12</v>
      </c>
      <c r="F6" s="371"/>
      <c r="G6" s="490" t="s">
        <v>465</v>
      </c>
      <c r="H6" s="169">
        <f>H3-1</f>
        <v>2</v>
      </c>
      <c r="J6" s="491"/>
      <c r="K6" s="492"/>
      <c r="L6" s="492"/>
      <c r="M6" s="493"/>
      <c r="P6" s="483">
        <v>3</v>
      </c>
      <c r="Q6" s="485">
        <v>18</v>
      </c>
      <c r="R6" s="485">
        <v>2</v>
      </c>
      <c r="S6" s="485">
        <v>2</v>
      </c>
      <c r="T6" s="485">
        <v>4</v>
      </c>
      <c r="U6" s="168"/>
      <c r="V6" s="479" t="s">
        <v>465</v>
      </c>
      <c r="W6" s="169">
        <f>W3-1</f>
        <v>3</v>
      </c>
      <c r="X6" s="483"/>
      <c r="Y6" s="491"/>
      <c r="Z6" s="492"/>
      <c r="AA6" s="492"/>
      <c r="AB6" s="493"/>
      <c r="AC6" s="483"/>
      <c r="AD6" s="483"/>
      <c r="AE6" s="485">
        <v>16</v>
      </c>
      <c r="AF6" s="485">
        <v>24</v>
      </c>
      <c r="AG6" s="485">
        <v>6</v>
      </c>
      <c r="AH6" s="485"/>
    </row>
    <row r="7" spans="2:30" ht="12.75">
      <c r="B7" s="28">
        <v>4</v>
      </c>
      <c r="C7" s="485">
        <v>15</v>
      </c>
      <c r="D7" s="485">
        <v>0</v>
      </c>
      <c r="E7" s="485">
        <v>8</v>
      </c>
      <c r="F7" s="371"/>
      <c r="G7" s="490" t="s">
        <v>466</v>
      </c>
      <c r="H7" s="169">
        <f>H4-H3</f>
        <v>12</v>
      </c>
      <c r="J7" s="495"/>
      <c r="K7" s="496"/>
      <c r="L7" s="496"/>
      <c r="M7" s="497"/>
      <c r="P7" s="483">
        <v>4</v>
      </c>
      <c r="Q7" s="485">
        <v>17</v>
      </c>
      <c r="R7" s="485">
        <v>3</v>
      </c>
      <c r="S7" s="485">
        <v>2</v>
      </c>
      <c r="T7" s="485"/>
      <c r="U7" s="168"/>
      <c r="V7" s="479" t="s">
        <v>466</v>
      </c>
      <c r="W7" s="169">
        <f>W4-W3</f>
        <v>14</v>
      </c>
      <c r="X7" s="483"/>
      <c r="Y7" s="495"/>
      <c r="Z7" s="496"/>
      <c r="AA7" s="496"/>
      <c r="AB7" s="497"/>
      <c r="AC7" s="483"/>
      <c r="AD7" s="483"/>
    </row>
    <row r="8" spans="2:37" ht="12.75">
      <c r="B8" s="28">
        <v>5</v>
      </c>
      <c r="C8" s="485">
        <v>13</v>
      </c>
      <c r="D8" s="485">
        <v>2</v>
      </c>
      <c r="E8" s="485">
        <v>4</v>
      </c>
      <c r="F8" s="371"/>
      <c r="P8" s="483">
        <v>5</v>
      </c>
      <c r="Q8" s="485">
        <v>16</v>
      </c>
      <c r="R8" s="485">
        <v>24</v>
      </c>
      <c r="S8" s="485">
        <v>6</v>
      </c>
      <c r="T8" s="485"/>
      <c r="U8" s="168"/>
      <c r="V8" s="483"/>
      <c r="W8" s="483"/>
      <c r="X8" s="483"/>
      <c r="Y8" s="483"/>
      <c r="Z8" s="483"/>
      <c r="AA8" s="483"/>
      <c r="AB8" s="483"/>
      <c r="AC8" s="483"/>
      <c r="AD8" s="483"/>
      <c r="AE8" t="s">
        <v>474</v>
      </c>
      <c r="AF8"/>
      <c r="AG8"/>
      <c r="AH8"/>
      <c r="AI8"/>
      <c r="AJ8"/>
      <c r="AK8"/>
    </row>
    <row r="9" spans="2:37" ht="12.75">
      <c r="B9" s="498"/>
      <c r="C9" s="371"/>
      <c r="D9" s="371"/>
      <c r="E9" s="371"/>
      <c r="F9" s="371"/>
      <c r="G9" s="486"/>
      <c r="H9" s="488"/>
      <c r="J9" s="486"/>
      <c r="K9" s="487"/>
      <c r="L9" s="487"/>
      <c r="M9" s="488"/>
      <c r="P9" s="277">
        <v>6</v>
      </c>
      <c r="Q9" s="485"/>
      <c r="R9" s="485"/>
      <c r="S9" s="485"/>
      <c r="T9" s="485"/>
      <c r="U9" s="168"/>
      <c r="V9" s="483"/>
      <c r="W9" s="483"/>
      <c r="X9" s="483"/>
      <c r="Y9" s="486"/>
      <c r="Z9" s="487"/>
      <c r="AA9" s="487"/>
      <c r="AB9" s="488"/>
      <c r="AC9" s="483"/>
      <c r="AD9" s="483"/>
      <c r="AE9"/>
      <c r="AF9"/>
      <c r="AG9"/>
      <c r="AH9"/>
      <c r="AI9"/>
      <c r="AJ9"/>
      <c r="AK9"/>
    </row>
    <row r="10" spans="2:37" ht="13.5" thickBot="1">
      <c r="B10" s="499" t="s">
        <v>440</v>
      </c>
      <c r="C10" s="169">
        <f>SUM(C4:C8)</f>
        <v>59</v>
      </c>
      <c r="D10" s="169">
        <f>SUM(D4:D8)</f>
        <v>19</v>
      </c>
      <c r="E10" s="169">
        <f>SUM(E4:E8)</f>
        <v>38</v>
      </c>
      <c r="F10" s="371"/>
      <c r="G10" s="491"/>
      <c r="H10" s="493"/>
      <c r="J10" s="491"/>
      <c r="K10" s="492"/>
      <c r="L10" s="492"/>
      <c r="M10" s="493"/>
      <c r="N10" s="28" t="s">
        <v>457</v>
      </c>
      <c r="P10" s="277">
        <v>7</v>
      </c>
      <c r="Q10" s="485"/>
      <c r="R10" s="485"/>
      <c r="S10" s="485"/>
      <c r="T10" s="485"/>
      <c r="U10" s="168"/>
      <c r="V10" s="483"/>
      <c r="W10" s="483"/>
      <c r="X10" s="483"/>
      <c r="Y10" s="491"/>
      <c r="Z10" s="492"/>
      <c r="AA10" s="492"/>
      <c r="AB10" s="493"/>
      <c r="AC10" s="483" t="s">
        <v>457</v>
      </c>
      <c r="AD10" s="483"/>
      <c r="AE10" t="s">
        <v>475</v>
      </c>
      <c r="AF10"/>
      <c r="AG10"/>
      <c r="AH10"/>
      <c r="AI10"/>
      <c r="AJ10"/>
      <c r="AK10"/>
    </row>
    <row r="11" spans="2:37" ht="12.75">
      <c r="B11" s="499" t="s">
        <v>143</v>
      </c>
      <c r="C11" s="501">
        <v>5</v>
      </c>
      <c r="D11" s="501">
        <v>5</v>
      </c>
      <c r="E11" s="501">
        <v>5</v>
      </c>
      <c r="F11" s="371"/>
      <c r="G11" s="491"/>
      <c r="H11" s="369">
        <f>SUM(C10:E10)/H4</f>
        <v>7.733333333333333</v>
      </c>
      <c r="J11" s="491"/>
      <c r="K11" s="492"/>
      <c r="L11" s="492"/>
      <c r="M11" s="369">
        <f>SUM(C20:E20)/SUM(C19:E19)</f>
        <v>8.733333333333329</v>
      </c>
      <c r="N11" s="28" t="s">
        <v>453</v>
      </c>
      <c r="P11" s="277">
        <v>8</v>
      </c>
      <c r="Q11" s="485"/>
      <c r="R11" s="485"/>
      <c r="S11" s="485"/>
      <c r="T11" s="485"/>
      <c r="U11" s="168"/>
      <c r="V11" s="483"/>
      <c r="W11" s="483"/>
      <c r="X11" s="483"/>
      <c r="Y11" s="491"/>
      <c r="Z11" s="492"/>
      <c r="AA11" s="492"/>
      <c r="AB11" s="369">
        <f>SUM(Q23:T23)/SUM(Q22:T22)</f>
        <v>53.61904761904761</v>
      </c>
      <c r="AC11" s="483" t="s">
        <v>453</v>
      </c>
      <c r="AD11" s="483"/>
      <c r="AE11" s="273" t="s">
        <v>476</v>
      </c>
      <c r="AF11" s="273" t="s">
        <v>477</v>
      </c>
      <c r="AG11" s="273" t="s">
        <v>478</v>
      </c>
      <c r="AH11" s="273" t="s">
        <v>479</v>
      </c>
      <c r="AI11" s="273" t="s">
        <v>480</v>
      </c>
      <c r="AJ11"/>
      <c r="AK11"/>
    </row>
    <row r="12" spans="2:37" ht="12.75">
      <c r="B12" s="499" t="s">
        <v>0</v>
      </c>
      <c r="C12" s="369">
        <f>SUM(C4:C8)/C11</f>
        <v>11.8</v>
      </c>
      <c r="D12" s="369">
        <f>SUM(D4:D8)/D11</f>
        <v>3.8</v>
      </c>
      <c r="E12" s="369">
        <f>SUM(E4:E8)/E11</f>
        <v>7.6</v>
      </c>
      <c r="F12" s="371"/>
      <c r="G12" s="491"/>
      <c r="H12" s="493"/>
      <c r="J12" s="491"/>
      <c r="K12" s="492"/>
      <c r="L12" s="492"/>
      <c r="M12" s="493"/>
      <c r="P12" s="277"/>
      <c r="Q12" s="365"/>
      <c r="R12" s="365"/>
      <c r="S12" s="365"/>
      <c r="T12" s="365"/>
      <c r="U12" s="168"/>
      <c r="V12" s="483"/>
      <c r="W12" s="483"/>
      <c r="X12" s="483"/>
      <c r="Y12" s="491"/>
      <c r="Z12" s="492"/>
      <c r="AA12" s="492"/>
      <c r="AB12" s="493"/>
      <c r="AC12" s="483"/>
      <c r="AD12" s="483"/>
      <c r="AE12" s="271" t="s">
        <v>481</v>
      </c>
      <c r="AF12" s="271">
        <v>5</v>
      </c>
      <c r="AG12" s="271">
        <v>78</v>
      </c>
      <c r="AH12" s="271">
        <v>15.6</v>
      </c>
      <c r="AI12" s="271">
        <v>5.300000000000011</v>
      </c>
      <c r="AJ12"/>
      <c r="AK12"/>
    </row>
    <row r="13" spans="2:37" ht="12.75">
      <c r="B13" s="499" t="s">
        <v>1</v>
      </c>
      <c r="C13" s="369">
        <f>STDEV(C4:C8)</f>
        <v>2.387467277262662</v>
      </c>
      <c r="D13" s="369">
        <f>STDEV(D4:D8)</f>
        <v>3.1937438845342623</v>
      </c>
      <c r="E13" s="369">
        <f>STDEV(E4:E8)</f>
        <v>3.209361307176242</v>
      </c>
      <c r="F13" s="371"/>
      <c r="G13" s="491"/>
      <c r="H13" s="493"/>
      <c r="J13" s="491"/>
      <c r="K13" s="492"/>
      <c r="L13" s="492"/>
      <c r="M13" s="493"/>
      <c r="P13" s="363" t="s">
        <v>440</v>
      </c>
      <c r="Q13" s="169">
        <f>SUM(Q4:Q11)</f>
        <v>78</v>
      </c>
      <c r="R13" s="169">
        <f>SUM(R4:R11)</f>
        <v>65</v>
      </c>
      <c r="S13" s="169">
        <f>SUM(S4:S11)</f>
        <v>36</v>
      </c>
      <c r="T13" s="169">
        <f>SUM(T4:T11)</f>
        <v>25</v>
      </c>
      <c r="U13" s="168"/>
      <c r="V13" s="483"/>
      <c r="W13" s="483"/>
      <c r="X13" s="483"/>
      <c r="Y13" s="491"/>
      <c r="Z13" s="492"/>
      <c r="AA13" s="492"/>
      <c r="AB13" s="493"/>
      <c r="AC13" s="483"/>
      <c r="AD13" s="483"/>
      <c r="AE13" s="271" t="s">
        <v>482</v>
      </c>
      <c r="AF13" s="271">
        <v>5</v>
      </c>
      <c r="AG13" s="271">
        <v>65</v>
      </c>
      <c r="AH13" s="271">
        <v>13</v>
      </c>
      <c r="AI13" s="271">
        <v>116</v>
      </c>
      <c r="AJ13"/>
      <c r="AK13"/>
    </row>
    <row r="14" spans="2:37" ht="12.75">
      <c r="B14" s="499"/>
      <c r="F14" s="371"/>
      <c r="G14" s="495"/>
      <c r="H14" s="497"/>
      <c r="J14" s="495"/>
      <c r="K14" s="496"/>
      <c r="L14" s="496"/>
      <c r="M14" s="497"/>
      <c r="P14" s="363" t="s">
        <v>143</v>
      </c>
      <c r="Q14" s="485">
        <v>5</v>
      </c>
      <c r="R14" s="485">
        <v>5</v>
      </c>
      <c r="S14" s="485">
        <v>5</v>
      </c>
      <c r="T14" s="485">
        <v>3</v>
      </c>
      <c r="U14" s="168"/>
      <c r="V14" s="277"/>
      <c r="W14" s="277"/>
      <c r="X14" s="483"/>
      <c r="Y14" s="495"/>
      <c r="Z14" s="496"/>
      <c r="AA14" s="496"/>
      <c r="AB14" s="497"/>
      <c r="AC14" s="483"/>
      <c r="AD14" s="483"/>
      <c r="AE14" s="271" t="s">
        <v>483</v>
      </c>
      <c r="AF14" s="271">
        <v>5</v>
      </c>
      <c r="AG14" s="271">
        <v>36</v>
      </c>
      <c r="AH14" s="271">
        <v>7.2</v>
      </c>
      <c r="AI14" s="271">
        <v>31.200000000000003</v>
      </c>
      <c r="AJ14"/>
      <c r="AK14"/>
    </row>
    <row r="15" spans="2:37" ht="13.5" thickBot="1">
      <c r="B15" s="499" t="s">
        <v>438</v>
      </c>
      <c r="C15" s="369">
        <f>C12-H11</f>
        <v>4.066666666666667</v>
      </c>
      <c r="D15" s="369">
        <f>D12-H11</f>
        <v>-3.9333333333333336</v>
      </c>
      <c r="E15" s="369">
        <f>E12-H11</f>
        <v>-0.13333333333333375</v>
      </c>
      <c r="F15" s="502"/>
      <c r="P15" s="363" t="s">
        <v>0</v>
      </c>
      <c r="Q15" s="169">
        <f>SUM(Q4:Q11)/Q14</f>
        <v>15.6</v>
      </c>
      <c r="R15" s="169">
        <f>SUM(R4:R11)/R14</f>
        <v>13</v>
      </c>
      <c r="S15" s="169">
        <f>SUM(S4:S11)/S14</f>
        <v>7.2</v>
      </c>
      <c r="T15" s="503">
        <f>SUM(T4:T11)/T14</f>
        <v>8.333333333333334</v>
      </c>
      <c r="U15" s="168"/>
      <c r="V15" s="486"/>
      <c r="W15" s="488"/>
      <c r="X15" s="483"/>
      <c r="Y15" s="483"/>
      <c r="Z15" s="483"/>
      <c r="AA15" s="483"/>
      <c r="AB15" s="483"/>
      <c r="AC15" s="483"/>
      <c r="AD15" s="483"/>
      <c r="AE15" s="535" t="s">
        <v>484</v>
      </c>
      <c r="AF15" s="272">
        <v>3</v>
      </c>
      <c r="AG15" s="272">
        <v>25</v>
      </c>
      <c r="AH15" s="272">
        <v>8.333333333333334</v>
      </c>
      <c r="AI15" s="272">
        <v>70.33333333333333</v>
      </c>
      <c r="AJ15"/>
      <c r="AK15"/>
    </row>
    <row r="16" spans="2:37" ht="14.25">
      <c r="B16" s="499" t="s">
        <v>470</v>
      </c>
      <c r="C16" s="369">
        <f>C15*C15</f>
        <v>16.537777777777784</v>
      </c>
      <c r="D16" s="369">
        <f>D15*D15</f>
        <v>15.471111111111114</v>
      </c>
      <c r="E16" s="369">
        <f>E15*E15</f>
        <v>0.01777777777777789</v>
      </c>
      <c r="F16" s="500"/>
      <c r="K16" s="486"/>
      <c r="L16" s="487"/>
      <c r="M16" s="488"/>
      <c r="N16" s="269"/>
      <c r="P16" s="363" t="s">
        <v>1</v>
      </c>
      <c r="Q16" s="456">
        <f>STDEV(Q4:Q11)</f>
        <v>2.30217288664427</v>
      </c>
      <c r="R16" s="456">
        <f>STDEV(R4:R11)</f>
        <v>10.770329614269007</v>
      </c>
      <c r="S16" s="456">
        <f>STDEV(S4:S11)</f>
        <v>5.585696017507577</v>
      </c>
      <c r="T16" s="456">
        <f>STDEV(T4:T11)</f>
        <v>8.386497083606082</v>
      </c>
      <c r="U16" s="277"/>
      <c r="V16" s="491"/>
      <c r="W16" s="471">
        <f>SUM(Q13:T13)/W4</f>
        <v>11.333333333333334</v>
      </c>
      <c r="X16" s="483"/>
      <c r="Y16" s="483"/>
      <c r="Z16" s="486"/>
      <c r="AA16" s="487"/>
      <c r="AB16" s="488"/>
      <c r="AC16" s="483"/>
      <c r="AD16" s="483"/>
      <c r="AE16"/>
      <c r="AF16"/>
      <c r="AG16"/>
      <c r="AH16"/>
      <c r="AI16"/>
      <c r="AJ16"/>
      <c r="AK16"/>
    </row>
    <row r="17" spans="2:37" ht="14.25">
      <c r="B17" s="499" t="s">
        <v>471</v>
      </c>
      <c r="C17" s="369">
        <f>C11*C16</f>
        <v>82.68888888888893</v>
      </c>
      <c r="D17" s="369">
        <f>D11*D16</f>
        <v>77.35555555555557</v>
      </c>
      <c r="E17" s="369">
        <f>E11*E16</f>
        <v>0.08888888888888945</v>
      </c>
      <c r="F17" s="500" t="s">
        <v>455</v>
      </c>
      <c r="G17" s="490" t="s">
        <v>463</v>
      </c>
      <c r="H17" s="369">
        <f>SUM(C17:E17)</f>
        <v>160.13333333333338</v>
      </c>
      <c r="K17" s="491"/>
      <c r="L17" s="492"/>
      <c r="M17" s="493"/>
      <c r="N17" s="500" t="s">
        <v>454</v>
      </c>
      <c r="P17" s="363"/>
      <c r="Q17" s="365"/>
      <c r="R17" s="365"/>
      <c r="S17" s="365"/>
      <c r="T17" s="365"/>
      <c r="U17" s="483"/>
      <c r="V17" s="491"/>
      <c r="W17" s="532"/>
      <c r="X17" s="483"/>
      <c r="Y17" s="483"/>
      <c r="Z17" s="491"/>
      <c r="AA17" s="492"/>
      <c r="AB17" s="493"/>
      <c r="AC17" s="277" t="s">
        <v>454</v>
      </c>
      <c r="AD17" s="483"/>
      <c r="AE17"/>
      <c r="AF17"/>
      <c r="AG17"/>
      <c r="AH17"/>
      <c r="AI17"/>
      <c r="AJ17"/>
      <c r="AK17"/>
    </row>
    <row r="18" spans="2:37" ht="13.5" thickBot="1">
      <c r="B18" s="499"/>
      <c r="F18" s="500"/>
      <c r="K18" s="491"/>
      <c r="L18" s="492"/>
      <c r="M18" s="369">
        <f>M5/M11</f>
        <v>9.167938931297718</v>
      </c>
      <c r="N18" s="28" t="s">
        <v>459</v>
      </c>
      <c r="P18" s="363" t="s">
        <v>438</v>
      </c>
      <c r="Q18" s="456">
        <f>Q15-W16</f>
        <v>4.266666666666666</v>
      </c>
      <c r="R18" s="456">
        <f>R15-W16</f>
        <v>1.666666666666666</v>
      </c>
      <c r="S18" s="471">
        <f>S15-W16</f>
        <v>-4.133333333333334</v>
      </c>
      <c r="T18" s="169">
        <f>T15-W16</f>
        <v>-3</v>
      </c>
      <c r="U18" s="483"/>
      <c r="V18" s="495"/>
      <c r="W18" s="533"/>
      <c r="X18" s="483"/>
      <c r="Y18" s="483"/>
      <c r="Z18" s="491"/>
      <c r="AA18" s="492"/>
      <c r="AB18" s="505">
        <f>AB5/AB11</f>
        <v>1.3510953226761397</v>
      </c>
      <c r="AC18" s="483" t="s">
        <v>459</v>
      </c>
      <c r="AD18" s="483"/>
      <c r="AE18" t="s">
        <v>432</v>
      </c>
      <c r="AF18"/>
      <c r="AG18"/>
      <c r="AH18"/>
      <c r="AI18"/>
      <c r="AJ18"/>
      <c r="AK18"/>
    </row>
    <row r="19" spans="2:37" ht="14.25">
      <c r="B19" s="499" t="s">
        <v>439</v>
      </c>
      <c r="C19" s="369">
        <f>C11-1</f>
        <v>4</v>
      </c>
      <c r="D19" s="369">
        <f>D11-1</f>
        <v>4</v>
      </c>
      <c r="E19" s="369">
        <f>E11-1</f>
        <v>4</v>
      </c>
      <c r="F19" s="269"/>
      <c r="K19" s="491"/>
      <c r="L19" s="492"/>
      <c r="M19" s="493"/>
      <c r="N19" s="500"/>
      <c r="P19" s="363" t="s">
        <v>470</v>
      </c>
      <c r="Q19" s="456">
        <f>Q18*Q18</f>
        <v>18.204444444444437</v>
      </c>
      <c r="R19" s="456">
        <f>R18*R18</f>
        <v>2.777777777777776</v>
      </c>
      <c r="S19" s="471">
        <f>S18*S18</f>
        <v>17.084444444444447</v>
      </c>
      <c r="T19" s="169">
        <f>T18*T18</f>
        <v>9</v>
      </c>
      <c r="U19" s="483"/>
      <c r="V19" s="277"/>
      <c r="W19" s="168"/>
      <c r="X19" s="483"/>
      <c r="Y19" s="483"/>
      <c r="Z19" s="491"/>
      <c r="AA19" s="492"/>
      <c r="AB19" s="493"/>
      <c r="AC19" s="277"/>
      <c r="AD19" s="483"/>
      <c r="AE19" s="273" t="s">
        <v>485</v>
      </c>
      <c r="AF19" s="273" t="s">
        <v>486</v>
      </c>
      <c r="AG19" s="273" t="s">
        <v>487</v>
      </c>
      <c r="AH19" s="273" t="s">
        <v>488</v>
      </c>
      <c r="AI19" s="273" t="s">
        <v>445</v>
      </c>
      <c r="AJ19" s="273" t="s">
        <v>489</v>
      </c>
      <c r="AK19" s="273" t="s">
        <v>490</v>
      </c>
    </row>
    <row r="20" spans="2:37" ht="14.25">
      <c r="B20" s="499" t="s">
        <v>472</v>
      </c>
      <c r="C20" s="369">
        <f>C19*C13*C13</f>
        <v>22.799999999999958</v>
      </c>
      <c r="D20" s="369">
        <f>D19*D13*D13</f>
        <v>40.8</v>
      </c>
      <c r="E20" s="369">
        <f>E19*E13*E13</f>
        <v>41.19999999999999</v>
      </c>
      <c r="F20" s="500" t="s">
        <v>455</v>
      </c>
      <c r="G20" s="490" t="s">
        <v>464</v>
      </c>
      <c r="H20" s="169">
        <f>SUM(C20:E20)</f>
        <v>104.79999999999994</v>
      </c>
      <c r="K20" s="491"/>
      <c r="L20" s="492"/>
      <c r="M20" s="493"/>
      <c r="N20" s="500"/>
      <c r="P20" s="363" t="s">
        <v>471</v>
      </c>
      <c r="Q20" s="456">
        <f>Q14*Q19</f>
        <v>91.02222222222218</v>
      </c>
      <c r="R20" s="456">
        <f>R14*R19</f>
        <v>13.888888888888879</v>
      </c>
      <c r="S20" s="471">
        <f>S14*S19</f>
        <v>85.42222222222223</v>
      </c>
      <c r="T20" s="169">
        <f>T14*T19</f>
        <v>27</v>
      </c>
      <c r="U20" s="277" t="s">
        <v>455</v>
      </c>
      <c r="V20" s="490" t="s">
        <v>463</v>
      </c>
      <c r="W20" s="471">
        <f>SUM(Q20:T20)</f>
        <v>217.33333333333331</v>
      </c>
      <c r="X20" s="483"/>
      <c r="Y20" s="483"/>
      <c r="Z20" s="491"/>
      <c r="AA20" s="492"/>
      <c r="AB20" s="493"/>
      <c r="AC20" s="277"/>
      <c r="AD20" s="483"/>
      <c r="AE20" s="271" t="s">
        <v>491</v>
      </c>
      <c r="AF20" s="271">
        <v>217.33333333333337</v>
      </c>
      <c r="AG20" s="271">
        <v>3</v>
      </c>
      <c r="AH20" s="271">
        <v>72.44444444444446</v>
      </c>
      <c r="AI20" s="271">
        <v>1.3510953226761402</v>
      </c>
      <c r="AJ20" s="271">
        <v>0.29808498632248037</v>
      </c>
      <c r="AK20" s="271">
        <v>3.3438886807214594</v>
      </c>
    </row>
    <row r="21" spans="6:37" ht="12.75">
      <c r="F21" s="500"/>
      <c r="K21" s="495"/>
      <c r="L21" s="496"/>
      <c r="M21" s="497"/>
      <c r="N21" s="500"/>
      <c r="P21" s="363"/>
      <c r="Q21" s="365"/>
      <c r="R21" s="365"/>
      <c r="S21" s="365"/>
      <c r="T21" s="365"/>
      <c r="U21" s="277"/>
      <c r="V21" s="483"/>
      <c r="W21" s="365"/>
      <c r="X21" s="483"/>
      <c r="Y21" s="483"/>
      <c r="Z21" s="495"/>
      <c r="AA21" s="496"/>
      <c r="AB21" s="497"/>
      <c r="AC21" s="277"/>
      <c r="AD21" s="483"/>
      <c r="AE21" s="271" t="s">
        <v>492</v>
      </c>
      <c r="AF21" s="271">
        <v>750.6666666666666</v>
      </c>
      <c r="AG21" s="271">
        <v>14</v>
      </c>
      <c r="AH21" s="271">
        <v>53.61904761904761</v>
      </c>
      <c r="AI21" s="271"/>
      <c r="AJ21" s="271"/>
      <c r="AK21" s="271"/>
    </row>
    <row r="22" spans="6:37" ht="12.75">
      <c r="F22" s="500"/>
      <c r="N22" s="269"/>
      <c r="P22" s="363" t="s">
        <v>439</v>
      </c>
      <c r="Q22" s="169">
        <f>Q14-1</f>
        <v>4</v>
      </c>
      <c r="R22" s="169">
        <f>R14-1</f>
        <v>4</v>
      </c>
      <c r="S22" s="169">
        <f>S14-1</f>
        <v>4</v>
      </c>
      <c r="T22" s="169">
        <f>T14-1</f>
        <v>2</v>
      </c>
      <c r="U22" s="483" t="s">
        <v>455</v>
      </c>
      <c r="V22" s="478" t="s">
        <v>473</v>
      </c>
      <c r="W22" s="169">
        <f>SUM(Q22:T22)</f>
        <v>14</v>
      </c>
      <c r="X22" s="483"/>
      <c r="Y22" s="483"/>
      <c r="Z22" s="483"/>
      <c r="AA22" s="483"/>
      <c r="AB22" s="483"/>
      <c r="AC22" s="483"/>
      <c r="AD22" s="483"/>
      <c r="AE22" s="271"/>
      <c r="AF22" s="271"/>
      <c r="AG22" s="271"/>
      <c r="AH22" s="271"/>
      <c r="AI22" s="271"/>
      <c r="AJ22" s="271"/>
      <c r="AK22" s="271"/>
    </row>
    <row r="23" spans="6:37" ht="15" thickBot="1">
      <c r="F23" s="269"/>
      <c r="L23" s="490" t="s">
        <v>223</v>
      </c>
      <c r="M23" s="369">
        <f>FDIST(M18,H3,H4)</f>
        <v>0.0010891614104785478</v>
      </c>
      <c r="N23" s="500"/>
      <c r="P23" s="363" t="s">
        <v>472</v>
      </c>
      <c r="Q23" s="169">
        <f>Q22*Q16*Q16</f>
        <v>21.200000000000045</v>
      </c>
      <c r="R23" s="169">
        <f>R22*R16*R16</f>
        <v>463.99999999999994</v>
      </c>
      <c r="S23" s="169">
        <f>S22*S16*S16</f>
        <v>124.80000000000003</v>
      </c>
      <c r="T23" s="471">
        <f>T22*T16*T16</f>
        <v>140.66666666666666</v>
      </c>
      <c r="U23" s="277" t="s">
        <v>455</v>
      </c>
      <c r="V23" s="490" t="s">
        <v>467</v>
      </c>
      <c r="W23" s="471">
        <f>SUM(Q23:T23)</f>
        <v>750.6666666666666</v>
      </c>
      <c r="X23" s="483"/>
      <c r="Y23" s="483"/>
      <c r="Z23" s="277"/>
      <c r="AA23" s="506" t="s">
        <v>223</v>
      </c>
      <c r="AB23" s="505">
        <f>FDIST(AB18,W3,W4)</f>
        <v>0.28978612527469694</v>
      </c>
      <c r="AC23" s="277"/>
      <c r="AD23" s="483"/>
      <c r="AE23" s="272" t="s">
        <v>493</v>
      </c>
      <c r="AF23" s="272">
        <v>968</v>
      </c>
      <c r="AG23" s="272">
        <v>17</v>
      </c>
      <c r="AH23" s="272"/>
      <c r="AI23" s="272"/>
      <c r="AJ23" s="272"/>
      <c r="AK23" s="272"/>
    </row>
    <row r="24" spans="6:30" ht="12.75">
      <c r="F24" s="500"/>
      <c r="J24" s="507"/>
      <c r="K24" s="508"/>
      <c r="L24" s="509" t="s">
        <v>469</v>
      </c>
      <c r="M24" s="369">
        <f>FINV(0.05,H6,H7)</f>
        <v>3.8852938347033836</v>
      </c>
      <c r="N24" s="500"/>
      <c r="P24" s="483"/>
      <c r="Q24" s="483"/>
      <c r="R24" s="483"/>
      <c r="S24" s="483"/>
      <c r="T24" s="483"/>
      <c r="U24" s="277"/>
      <c r="V24" s="483"/>
      <c r="X24" s="483"/>
      <c r="Y24" s="530"/>
      <c r="Z24" s="508"/>
      <c r="AA24" s="509" t="s">
        <v>468</v>
      </c>
      <c r="AB24" s="505">
        <f>FINV(0.05,W6,W7)</f>
        <v>3.3438886807214594</v>
      </c>
      <c r="AC24" s="277"/>
      <c r="AD24" s="483"/>
    </row>
    <row r="25" spans="14:30" ht="12.75">
      <c r="N25" s="500"/>
      <c r="P25" s="483"/>
      <c r="Q25" s="483"/>
      <c r="R25" s="483"/>
      <c r="S25" s="483"/>
      <c r="T25" s="483"/>
      <c r="U25" s="483"/>
      <c r="V25" s="483"/>
      <c r="W25" s="483"/>
      <c r="X25" s="483"/>
      <c r="Y25" s="483"/>
      <c r="Z25" s="483"/>
      <c r="AA25" s="483"/>
      <c r="AB25" s="483"/>
      <c r="AC25" s="277"/>
      <c r="AD25" s="483"/>
    </row>
    <row r="26" spans="14:30" ht="13.5" thickBot="1">
      <c r="N26" s="500"/>
      <c r="P26" s="483"/>
      <c r="Q26" s="483"/>
      <c r="R26" s="483"/>
      <c r="S26" s="483"/>
      <c r="T26" s="483"/>
      <c r="U26" s="483"/>
      <c r="V26" s="483"/>
      <c r="W26" s="483"/>
      <c r="X26" s="483"/>
      <c r="Y26" s="483"/>
      <c r="Z26" s="483"/>
      <c r="AA26" s="483"/>
      <c r="AB26" s="483"/>
      <c r="AC26" s="277"/>
      <c r="AD26" s="483"/>
    </row>
    <row r="27" spans="6:30" ht="12.75">
      <c r="F27" s="510"/>
      <c r="G27" s="511"/>
      <c r="H27" s="511"/>
      <c r="I27" s="511"/>
      <c r="J27" s="511"/>
      <c r="K27" s="511"/>
      <c r="L27" s="511"/>
      <c r="M27" s="512"/>
      <c r="N27" s="500"/>
      <c r="P27" s="483"/>
      <c r="Q27" s="483"/>
      <c r="R27" s="483"/>
      <c r="S27" s="483"/>
      <c r="T27" s="483"/>
      <c r="U27" s="521"/>
      <c r="V27" s="522"/>
      <c r="W27" s="522"/>
      <c r="X27" s="522"/>
      <c r="Y27" s="522"/>
      <c r="Z27" s="522"/>
      <c r="AA27" s="522"/>
      <c r="AB27" s="526"/>
      <c r="AC27" s="277"/>
      <c r="AD27" s="483"/>
    </row>
    <row r="28" spans="6:30" ht="12.75">
      <c r="F28" s="513"/>
      <c r="G28" s="275" t="s">
        <v>443</v>
      </c>
      <c r="H28" s="275" t="s">
        <v>444</v>
      </c>
      <c r="I28" s="275" t="s">
        <v>313</v>
      </c>
      <c r="J28" s="514" t="s">
        <v>460</v>
      </c>
      <c r="K28" s="515"/>
      <c r="L28" s="516" t="s">
        <v>445</v>
      </c>
      <c r="M28" s="517"/>
      <c r="N28" s="500"/>
      <c r="P28" s="483"/>
      <c r="Q28" s="483"/>
      <c r="R28" s="483"/>
      <c r="S28" s="483"/>
      <c r="T28" s="483"/>
      <c r="U28" s="523"/>
      <c r="V28" s="364" t="s">
        <v>443</v>
      </c>
      <c r="W28" s="538" t="s">
        <v>444</v>
      </c>
      <c r="X28" s="364" t="s">
        <v>313</v>
      </c>
      <c r="Y28" s="527" t="s">
        <v>460</v>
      </c>
      <c r="Z28" s="478"/>
      <c r="AA28" s="528" t="s">
        <v>445</v>
      </c>
      <c r="AB28" s="534"/>
      <c r="AC28" s="277"/>
      <c r="AD28" s="483"/>
    </row>
    <row r="29" spans="6:30" ht="12.75">
      <c r="F29" s="513"/>
      <c r="G29" s="371" t="s">
        <v>446</v>
      </c>
      <c r="H29" s="498" t="s">
        <v>447</v>
      </c>
      <c r="I29" s="371" t="s">
        <v>441</v>
      </c>
      <c r="J29" s="498" t="s">
        <v>450</v>
      </c>
      <c r="K29" s="498"/>
      <c r="L29" s="500"/>
      <c r="M29" s="518"/>
      <c r="N29" s="269"/>
      <c r="P29" s="483"/>
      <c r="Q29" s="483"/>
      <c r="R29" s="483"/>
      <c r="S29" s="483"/>
      <c r="T29" s="483"/>
      <c r="U29" s="523"/>
      <c r="V29" s="277"/>
      <c r="W29" s="498" t="s">
        <v>447</v>
      </c>
      <c r="X29" s="371" t="s">
        <v>441</v>
      </c>
      <c r="Y29" s="498" t="s">
        <v>450</v>
      </c>
      <c r="Z29" s="277"/>
      <c r="AA29" s="277"/>
      <c r="AB29" s="529"/>
      <c r="AC29" s="483"/>
      <c r="AD29" s="483"/>
    </row>
    <row r="30" spans="6:30" ht="12.75">
      <c r="F30" s="513"/>
      <c r="G30" s="502"/>
      <c r="H30" s="369">
        <f>H17</f>
        <v>160.13333333333338</v>
      </c>
      <c r="I30" s="169">
        <f>H3-1</f>
        <v>2</v>
      </c>
      <c r="J30" s="369">
        <f>M5</f>
        <v>80.06666666666669</v>
      </c>
      <c r="K30" s="498"/>
      <c r="L30" s="500" t="s">
        <v>458</v>
      </c>
      <c r="M30" s="518"/>
      <c r="N30" s="269"/>
      <c r="P30" s="483"/>
      <c r="Q30" s="483"/>
      <c r="R30" s="483"/>
      <c r="S30" s="483"/>
      <c r="T30" s="483"/>
      <c r="U30" s="523"/>
      <c r="V30" s="168" t="s">
        <v>446</v>
      </c>
      <c r="W30" s="471">
        <f>W20</f>
        <v>217.33333333333331</v>
      </c>
      <c r="X30" s="169">
        <f>W3-1</f>
        <v>3</v>
      </c>
      <c r="Y30" s="471">
        <f>AB5</f>
        <v>72.44444444444444</v>
      </c>
      <c r="Z30" s="277"/>
      <c r="AA30" s="500" t="s">
        <v>458</v>
      </c>
      <c r="AB30" s="529"/>
      <c r="AC30" s="483"/>
      <c r="AD30" s="483"/>
    </row>
    <row r="31" spans="6:30" ht="12.75">
      <c r="F31" s="513"/>
      <c r="G31" s="371"/>
      <c r="H31" s="498"/>
      <c r="I31" s="371"/>
      <c r="J31" s="498"/>
      <c r="K31" s="500"/>
      <c r="L31" s="369">
        <f>J30/J33</f>
        <v>9.167938931297718</v>
      </c>
      <c r="M31" s="518"/>
      <c r="P31" s="483"/>
      <c r="Q31" s="483"/>
      <c r="R31" s="483"/>
      <c r="S31" s="483"/>
      <c r="T31" s="483"/>
      <c r="U31" s="523"/>
      <c r="V31" s="168"/>
      <c r="W31" s="277"/>
      <c r="X31" s="168"/>
      <c r="Y31" s="277"/>
      <c r="Z31" s="277"/>
      <c r="AA31" s="369">
        <f>Y30/Y33</f>
        <v>1.3510953226761397</v>
      </c>
      <c r="AB31" s="529"/>
      <c r="AC31" s="483"/>
      <c r="AD31" s="483"/>
    </row>
    <row r="32" spans="6:30" ht="12.75">
      <c r="F32" s="513"/>
      <c r="G32" s="371" t="s">
        <v>448</v>
      </c>
      <c r="H32" s="498" t="s">
        <v>449</v>
      </c>
      <c r="I32" s="371" t="s">
        <v>442</v>
      </c>
      <c r="J32" s="498" t="s">
        <v>451</v>
      </c>
      <c r="K32" s="500"/>
      <c r="L32" s="500"/>
      <c r="M32" s="518"/>
      <c r="P32" s="483"/>
      <c r="Q32" s="483"/>
      <c r="R32" s="483"/>
      <c r="S32" s="483"/>
      <c r="T32" s="483"/>
      <c r="U32" s="523"/>
      <c r="V32" s="277"/>
      <c r="W32" s="277" t="s">
        <v>449</v>
      </c>
      <c r="X32" s="168" t="s">
        <v>442</v>
      </c>
      <c r="Y32" s="277" t="s">
        <v>451</v>
      </c>
      <c r="Z32" s="277"/>
      <c r="AA32" s="277"/>
      <c r="AB32" s="529"/>
      <c r="AC32" s="483"/>
      <c r="AD32" s="483"/>
    </row>
    <row r="33" spans="6:30" ht="12.75">
      <c r="F33" s="513"/>
      <c r="G33" s="500"/>
      <c r="H33" s="369">
        <f>H20</f>
        <v>104.79999999999994</v>
      </c>
      <c r="I33" s="169">
        <f>H4-H3</f>
        <v>12</v>
      </c>
      <c r="J33" s="369">
        <f>H33/I33</f>
        <v>8.733333333333329</v>
      </c>
      <c r="K33" s="498"/>
      <c r="L33" s="498"/>
      <c r="M33" s="517"/>
      <c r="P33" s="483"/>
      <c r="Q33" s="483"/>
      <c r="R33" s="483"/>
      <c r="S33" s="483"/>
      <c r="T33" s="483"/>
      <c r="U33" s="523"/>
      <c r="V33" s="168" t="s">
        <v>448</v>
      </c>
      <c r="W33" s="471">
        <f>W23</f>
        <v>750.6666666666666</v>
      </c>
      <c r="X33" s="169">
        <f>W4-W3</f>
        <v>14</v>
      </c>
      <c r="Y33" s="471">
        <f>W33/X33</f>
        <v>53.61904761904761</v>
      </c>
      <c r="Z33" s="277"/>
      <c r="AA33" s="277"/>
      <c r="AB33" s="529"/>
      <c r="AC33" s="483"/>
      <c r="AD33" s="483"/>
    </row>
    <row r="34" spans="6:30" ht="13.5" thickBot="1">
      <c r="F34" s="519"/>
      <c r="G34" s="362"/>
      <c r="H34" s="362"/>
      <c r="I34" s="362"/>
      <c r="J34" s="362"/>
      <c r="K34" s="362"/>
      <c r="L34" s="362"/>
      <c r="M34" s="520"/>
      <c r="P34" s="483"/>
      <c r="Q34" s="483"/>
      <c r="R34" s="483"/>
      <c r="S34" s="483"/>
      <c r="T34" s="483"/>
      <c r="U34" s="524"/>
      <c r="V34" s="525"/>
      <c r="W34" s="525"/>
      <c r="X34" s="525"/>
      <c r="Y34" s="525"/>
      <c r="Z34" s="525"/>
      <c r="AA34" s="525"/>
      <c r="AB34" s="531"/>
      <c r="AC34" s="483"/>
      <c r="AD34" s="483"/>
    </row>
    <row r="35" spans="16:30" ht="12.75">
      <c r="P35" s="483"/>
      <c r="Q35" s="483"/>
      <c r="R35" s="483"/>
      <c r="S35" s="483"/>
      <c r="T35" s="483"/>
      <c r="U35" s="483"/>
      <c r="V35" s="483"/>
      <c r="W35" s="483"/>
      <c r="X35" s="483"/>
      <c r="Y35" s="483"/>
      <c r="Z35" s="483"/>
      <c r="AA35" s="483"/>
      <c r="AB35" s="483"/>
      <c r="AC35" s="483"/>
      <c r="AD35" s="483"/>
    </row>
    <row r="36" spans="3:36" ht="12.75">
      <c r="C36" s="28" t="s">
        <v>495</v>
      </c>
      <c r="P36" s="269"/>
      <c r="Q36" s="269"/>
      <c r="R36" s="269"/>
      <c r="S36" s="269"/>
      <c r="T36" s="269"/>
      <c r="U36" s="269"/>
      <c r="V36" s="269"/>
      <c r="W36" s="269"/>
      <c r="X36" s="269"/>
      <c r="Y36" s="484" t="s">
        <v>496</v>
      </c>
      <c r="Z36" s="537">
        <f>X30*AB24</f>
        <v>10.031666042164378</v>
      </c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</row>
    <row r="37" spans="16:36" ht="12.75">
      <c r="P37" s="269"/>
      <c r="Q37" s="269"/>
      <c r="R37" s="269"/>
      <c r="S37" s="269"/>
      <c r="T37" s="536" t="s">
        <v>497</v>
      </c>
      <c r="V37" s="536" t="s">
        <v>498</v>
      </c>
      <c r="X37" s="536" t="s">
        <v>449</v>
      </c>
      <c r="Y37" s="536" t="s">
        <v>499</v>
      </c>
      <c r="Z37" s="536" t="s">
        <v>500</v>
      </c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</row>
    <row r="38" spans="7:36" ht="12.75">
      <c r="G38" s="490" t="s">
        <v>496</v>
      </c>
      <c r="H38" s="369">
        <f>I30*M24</f>
        <v>7.770587669406767</v>
      </c>
      <c r="P38" s="269"/>
      <c r="Q38" s="269"/>
      <c r="R38" s="275" t="s">
        <v>434</v>
      </c>
      <c r="S38" s="275" t="s">
        <v>435</v>
      </c>
      <c r="T38" s="369">
        <f>Q15-R15</f>
        <v>2.5999999999999996</v>
      </c>
      <c r="V38" s="369">
        <f aca="true" t="shared" si="0" ref="V38:V43">T38*T38</f>
        <v>6.759999999999998</v>
      </c>
      <c r="X38" s="504">
        <f>W33</f>
        <v>750.6666666666666</v>
      </c>
      <c r="Y38" s="369">
        <f>1/Q14+1/R14</f>
        <v>0.4</v>
      </c>
      <c r="Z38" s="369">
        <f aca="true" t="shared" si="1" ref="Z38:Z43">V38/X38/Y38</f>
        <v>0.022513321492007098</v>
      </c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</row>
    <row r="39" spans="16:36" ht="12.75">
      <c r="P39" s="269"/>
      <c r="Q39" s="269"/>
      <c r="R39" s="275" t="s">
        <v>434</v>
      </c>
      <c r="S39" s="275" t="s">
        <v>436</v>
      </c>
      <c r="T39" s="369">
        <f>Q15-S15</f>
        <v>8.399999999999999</v>
      </c>
      <c r="V39" s="369">
        <f t="shared" si="0"/>
        <v>70.55999999999997</v>
      </c>
      <c r="X39" s="504">
        <f>W33</f>
        <v>750.6666666666666</v>
      </c>
      <c r="Y39" s="369">
        <f>1/Q14+1/S14</f>
        <v>0.4</v>
      </c>
      <c r="Z39" s="369">
        <f t="shared" si="1"/>
        <v>0.2349911190053285</v>
      </c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</row>
    <row r="40" spans="16:36" ht="12.75">
      <c r="P40" s="269"/>
      <c r="Q40" s="269"/>
      <c r="R40" s="275" t="s">
        <v>434</v>
      </c>
      <c r="S40" s="275" t="s">
        <v>437</v>
      </c>
      <c r="T40" s="505">
        <f>Q15-T15</f>
        <v>7.266666666666666</v>
      </c>
      <c r="V40" s="369">
        <f t="shared" si="0"/>
        <v>52.80444444444443</v>
      </c>
      <c r="X40" s="504">
        <f>W33</f>
        <v>750.6666666666666</v>
      </c>
      <c r="Y40" s="369">
        <f>1/Q14+1/T14</f>
        <v>0.5333333333333333</v>
      </c>
      <c r="Z40" s="369">
        <f t="shared" si="1"/>
        <v>0.13189387211367667</v>
      </c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</row>
    <row r="41" spans="18:30" ht="12.75">
      <c r="R41" s="275" t="s">
        <v>435</v>
      </c>
      <c r="S41" s="275" t="s">
        <v>436</v>
      </c>
      <c r="T41" s="369">
        <f>R15-S15</f>
        <v>5.8</v>
      </c>
      <c r="V41" s="369">
        <f t="shared" si="0"/>
        <v>33.64</v>
      </c>
      <c r="X41" s="504">
        <f>W33</f>
        <v>750.6666666666666</v>
      </c>
      <c r="Y41" s="369">
        <f>1/R14+1/S14</f>
        <v>0.4</v>
      </c>
      <c r="Z41" s="369">
        <f t="shared" si="1"/>
        <v>0.11203374777975134</v>
      </c>
      <c r="AA41" s="269"/>
      <c r="AB41" s="269"/>
      <c r="AC41" s="269"/>
      <c r="AD41" s="483"/>
    </row>
    <row r="42" spans="18:29" ht="12.75">
      <c r="R42" s="275" t="s">
        <v>435</v>
      </c>
      <c r="S42" s="275" t="s">
        <v>437</v>
      </c>
      <c r="T42" s="505">
        <f>R15-T15</f>
        <v>4.666666666666666</v>
      </c>
      <c r="V42" s="369">
        <f t="shared" si="0"/>
        <v>21.77777777777777</v>
      </c>
      <c r="X42" s="504">
        <f>W33</f>
        <v>750.6666666666666</v>
      </c>
      <c r="Y42" s="369">
        <f>1/R14+1/T14</f>
        <v>0.5333333333333333</v>
      </c>
      <c r="Z42" s="369">
        <f t="shared" si="1"/>
        <v>0.05439609236234457</v>
      </c>
      <c r="AA42" s="269"/>
      <c r="AB42" s="269"/>
      <c r="AC42" s="269"/>
    </row>
    <row r="43" spans="7:29" ht="12.75">
      <c r="G43" s="536" t="s">
        <v>497</v>
      </c>
      <c r="H43" s="536" t="s">
        <v>498</v>
      </c>
      <c r="I43" s="536" t="s">
        <v>449</v>
      </c>
      <c r="J43" s="536" t="s">
        <v>499</v>
      </c>
      <c r="K43" s="536" t="s">
        <v>500</v>
      </c>
      <c r="L43" s="536"/>
      <c r="M43" s="536"/>
      <c r="N43" s="536"/>
      <c r="R43" s="275" t="s">
        <v>436</v>
      </c>
      <c r="S43" s="275" t="s">
        <v>437</v>
      </c>
      <c r="T43" s="505">
        <f>S15-T15</f>
        <v>-1.1333333333333337</v>
      </c>
      <c r="V43" s="369">
        <f t="shared" si="0"/>
        <v>1.2844444444444454</v>
      </c>
      <c r="X43" s="504">
        <f>W33</f>
        <v>750.6666666666666</v>
      </c>
      <c r="Y43" s="369">
        <f>1/S14+1/T14</f>
        <v>0.5333333333333333</v>
      </c>
      <c r="Z43" s="369">
        <f t="shared" si="1"/>
        <v>0.0032082593250444074</v>
      </c>
      <c r="AA43" s="269"/>
      <c r="AB43" s="269"/>
      <c r="AC43" s="269"/>
    </row>
    <row r="44" spans="4:11" ht="12.75">
      <c r="D44" s="275" t="s">
        <v>434</v>
      </c>
      <c r="E44" s="275" t="s">
        <v>435</v>
      </c>
      <c r="G44" s="369">
        <f>C12-D12</f>
        <v>8</v>
      </c>
      <c r="H44" s="369">
        <f>G44*G44</f>
        <v>64</v>
      </c>
      <c r="I44" s="369">
        <f>H33</f>
        <v>104.79999999999994</v>
      </c>
      <c r="J44" s="369">
        <f>1/C11+1/D11</f>
        <v>0.4</v>
      </c>
      <c r="K44" s="369">
        <f>H44/I44/J44</f>
        <v>1.5267175572519092</v>
      </c>
    </row>
    <row r="46" spans="4:11" ht="12.75">
      <c r="D46" s="275" t="s">
        <v>434</v>
      </c>
      <c r="E46" s="275" t="s">
        <v>436</v>
      </c>
      <c r="G46" s="369">
        <f>C12-E12</f>
        <v>4.200000000000001</v>
      </c>
      <c r="H46" s="369">
        <f>G46*G46</f>
        <v>17.640000000000008</v>
      </c>
      <c r="I46" s="369">
        <f>H33</f>
        <v>104.79999999999994</v>
      </c>
      <c r="J46" s="369">
        <f>1/C11+1/E11</f>
        <v>0.4</v>
      </c>
      <c r="K46" s="369">
        <f>H46/I46/J46</f>
        <v>0.4208015267175576</v>
      </c>
    </row>
    <row r="48" spans="4:11" ht="12.75">
      <c r="D48" s="275" t="s">
        <v>435</v>
      </c>
      <c r="E48" s="275" t="s">
        <v>436</v>
      </c>
      <c r="G48" s="369">
        <f>D12-E12</f>
        <v>-3.8</v>
      </c>
      <c r="H48" s="369">
        <f>G48*G48</f>
        <v>14.44</v>
      </c>
      <c r="I48" s="369">
        <f>H33</f>
        <v>104.79999999999994</v>
      </c>
      <c r="J48" s="369">
        <f>1/D11+1/E11</f>
        <v>0.4</v>
      </c>
      <c r="K48" s="369">
        <f>H48/I48/J48</f>
        <v>0.344465648854962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8"/>
  <sheetViews>
    <sheetView zoomScale="67" zoomScaleNormal="67" zoomScalePageLayoutView="0" workbookViewId="0" topLeftCell="A1">
      <selection activeCell="N40" sqref="N40"/>
    </sheetView>
  </sheetViews>
  <sheetFormatPr defaultColWidth="9.140625" defaultRowHeight="12.75"/>
  <cols>
    <col min="1" max="1" width="3.57421875" style="41" customWidth="1"/>
    <col min="2" max="2" width="19.28125" style="41" customWidth="1"/>
    <col min="3" max="3" width="0.85546875" style="41" customWidth="1"/>
    <col min="4" max="4" width="7.140625" style="43" customWidth="1"/>
    <col min="5" max="5" width="3.421875" style="41" customWidth="1"/>
    <col min="6" max="6" width="21.140625" style="41" customWidth="1"/>
    <col min="7" max="7" width="0.9921875" style="41" customWidth="1"/>
    <col min="8" max="8" width="8.8515625" style="41" customWidth="1"/>
    <col min="9" max="9" width="3.8515625" style="41" customWidth="1"/>
    <col min="10" max="10" width="17.00390625" style="41" customWidth="1"/>
    <col min="11" max="11" width="1.1484375" style="41" customWidth="1"/>
    <col min="12" max="12" width="9.140625" style="41" customWidth="1"/>
    <col min="13" max="13" width="1.8515625" style="41" customWidth="1"/>
    <col min="14" max="19" width="9.140625" style="41" customWidth="1"/>
    <col min="20" max="20" width="2.7109375" style="41" customWidth="1"/>
    <col min="21" max="21" width="3.57421875" style="41" customWidth="1"/>
    <col min="22" max="16384" width="9.140625" style="41" customWidth="1"/>
  </cols>
  <sheetData>
    <row r="1" spans="1:29" ht="12.75">
      <c r="A1" s="117"/>
      <c r="B1" s="117"/>
      <c r="C1" s="117"/>
      <c r="D1" s="125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202"/>
      <c r="V1" s="202"/>
      <c r="W1" s="202"/>
      <c r="X1" s="202"/>
      <c r="Y1" s="202"/>
      <c r="Z1" s="202"/>
      <c r="AA1" s="202"/>
      <c r="AB1" s="202"/>
      <c r="AC1" s="202"/>
    </row>
    <row r="2" spans="1:29" ht="12.75">
      <c r="A2" s="117"/>
      <c r="B2" s="117"/>
      <c r="C2" s="117"/>
      <c r="D2" s="125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202"/>
      <c r="V2" s="202"/>
      <c r="W2" s="202"/>
      <c r="X2" s="202"/>
      <c r="Y2" s="202"/>
      <c r="Z2" s="202"/>
      <c r="AA2" s="202"/>
      <c r="AB2" s="202"/>
      <c r="AC2" s="202"/>
    </row>
    <row r="3" spans="1:29" ht="18">
      <c r="A3" s="117"/>
      <c r="B3" s="26" t="s">
        <v>51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202"/>
      <c r="V3" s="202"/>
      <c r="W3" s="202"/>
      <c r="X3" s="202"/>
      <c r="Y3" s="202"/>
      <c r="Z3" s="202"/>
      <c r="AA3" s="202"/>
      <c r="AB3" s="202"/>
      <c r="AC3" s="202"/>
    </row>
    <row r="4" spans="1:29" ht="12.75">
      <c r="A4" s="117"/>
      <c r="B4" s="117"/>
      <c r="C4" s="117"/>
      <c r="D4" s="125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202"/>
      <c r="V4" s="202"/>
      <c r="W4" s="202"/>
      <c r="X4" s="202"/>
      <c r="Y4" s="202"/>
      <c r="Z4" s="202"/>
      <c r="AA4" s="202"/>
      <c r="AB4" s="202"/>
      <c r="AC4" s="202"/>
    </row>
    <row r="5" spans="1:29" ht="12">
      <c r="A5" s="117"/>
      <c r="B5" s="123" t="s">
        <v>3</v>
      </c>
      <c r="C5" s="124" t="s">
        <v>41</v>
      </c>
      <c r="D5" s="6"/>
      <c r="E5" s="6"/>
      <c r="F5" s="6"/>
      <c r="G5" s="6"/>
      <c r="H5" s="6"/>
      <c r="I5" s="6"/>
      <c r="J5" s="6"/>
      <c r="K5" s="6"/>
      <c r="L5" s="6"/>
      <c r="M5" s="6"/>
      <c r="N5" s="117"/>
      <c r="O5" s="117"/>
      <c r="P5" s="117"/>
      <c r="Q5" s="117"/>
      <c r="R5" s="117"/>
      <c r="S5" s="117"/>
      <c r="T5" s="117"/>
      <c r="U5" s="202"/>
      <c r="V5" s="202"/>
      <c r="W5" s="202"/>
      <c r="X5" s="202"/>
      <c r="Y5" s="202"/>
      <c r="Z5" s="202"/>
      <c r="AA5" s="202"/>
      <c r="AB5" s="202"/>
      <c r="AC5" s="202"/>
    </row>
    <row r="6" spans="1:29" ht="12">
      <c r="A6" s="117"/>
      <c r="B6" s="123" t="s">
        <v>6</v>
      </c>
      <c r="C6" s="124" t="s">
        <v>45</v>
      </c>
      <c r="D6" s="6"/>
      <c r="E6" s="6"/>
      <c r="F6" s="6"/>
      <c r="G6" s="6"/>
      <c r="H6" s="6"/>
      <c r="I6" s="6"/>
      <c r="J6" s="6"/>
      <c r="K6" s="6"/>
      <c r="L6" s="6"/>
      <c r="M6" s="6"/>
      <c r="N6" s="117"/>
      <c r="O6" s="117"/>
      <c r="P6" s="117"/>
      <c r="Q6" s="117"/>
      <c r="R6" s="117"/>
      <c r="S6" s="117"/>
      <c r="T6" s="117"/>
      <c r="U6" s="202"/>
      <c r="V6" s="202"/>
      <c r="W6" s="202"/>
      <c r="X6" s="202"/>
      <c r="Y6" s="202"/>
      <c r="Z6" s="202"/>
      <c r="AA6" s="202"/>
      <c r="AB6" s="202"/>
      <c r="AC6" s="202"/>
    </row>
    <row r="7" spans="1:29" ht="12">
      <c r="A7" s="117"/>
      <c r="B7" s="123" t="s">
        <v>7</v>
      </c>
      <c r="C7" s="124" t="s">
        <v>46</v>
      </c>
      <c r="D7" s="6"/>
      <c r="E7" s="6"/>
      <c r="F7" s="6"/>
      <c r="G7" s="6"/>
      <c r="H7" s="6"/>
      <c r="I7" s="6"/>
      <c r="J7" s="6"/>
      <c r="K7" s="6"/>
      <c r="L7" s="6"/>
      <c r="M7" s="6"/>
      <c r="N7" s="117"/>
      <c r="O7" s="117"/>
      <c r="P7" s="117"/>
      <c r="Q7" s="117"/>
      <c r="R7" s="117"/>
      <c r="S7" s="117"/>
      <c r="T7" s="117"/>
      <c r="U7" s="202"/>
      <c r="V7" s="202"/>
      <c r="W7" s="202"/>
      <c r="X7" s="202"/>
      <c r="Y7" s="202"/>
      <c r="Z7" s="202"/>
      <c r="AA7" s="202"/>
      <c r="AB7" s="202"/>
      <c r="AC7" s="202"/>
    </row>
    <row r="8" spans="1:29" ht="12">
      <c r="A8" s="117"/>
      <c r="B8" s="123" t="s">
        <v>8</v>
      </c>
      <c r="C8" s="124" t="s">
        <v>59</v>
      </c>
      <c r="D8" s="117"/>
      <c r="E8" s="6"/>
      <c r="F8" s="6"/>
      <c r="G8" s="6"/>
      <c r="H8" s="6"/>
      <c r="I8" s="6"/>
      <c r="J8" s="6"/>
      <c r="K8" s="6"/>
      <c r="L8" s="6"/>
      <c r="M8" s="6"/>
      <c r="N8" s="117"/>
      <c r="O8" s="117"/>
      <c r="P8" s="117"/>
      <c r="Q8" s="117"/>
      <c r="R8" s="117"/>
      <c r="S8" s="117"/>
      <c r="T8" s="117"/>
      <c r="U8" s="202"/>
      <c r="V8" s="202"/>
      <c r="W8" s="202"/>
      <c r="X8" s="202"/>
      <c r="Y8" s="202"/>
      <c r="Z8" s="202"/>
      <c r="AA8" s="202"/>
      <c r="AB8" s="202"/>
      <c r="AC8" s="202"/>
    </row>
    <row r="9" spans="1:29" ht="12">
      <c r="A9" s="117"/>
      <c r="B9" s="123"/>
      <c r="C9" s="124"/>
      <c r="D9" s="6"/>
      <c r="E9" s="6"/>
      <c r="F9" s="6"/>
      <c r="G9" s="6"/>
      <c r="H9" s="6"/>
      <c r="I9" s="6"/>
      <c r="J9" s="6"/>
      <c r="K9" s="6"/>
      <c r="L9" s="6"/>
      <c r="M9" s="6"/>
      <c r="N9" s="117"/>
      <c r="O9" s="117"/>
      <c r="P9" s="117"/>
      <c r="Q9" s="117"/>
      <c r="R9" s="117"/>
      <c r="S9" s="117"/>
      <c r="T9" s="117"/>
      <c r="U9" s="202"/>
      <c r="V9" s="202"/>
      <c r="W9" s="202"/>
      <c r="X9" s="202"/>
      <c r="Y9" s="202"/>
      <c r="Z9" s="202"/>
      <c r="AA9" s="202"/>
      <c r="AB9" s="202"/>
      <c r="AC9" s="202"/>
    </row>
    <row r="10" spans="1:29" ht="12">
      <c r="A10" s="117"/>
      <c r="B10" s="123"/>
      <c r="C10" s="124"/>
      <c r="D10" s="6"/>
      <c r="E10" s="6"/>
      <c r="F10" s="6"/>
      <c r="G10" s="6"/>
      <c r="H10" s="6"/>
      <c r="I10" s="6"/>
      <c r="J10" s="6"/>
      <c r="K10" s="6"/>
      <c r="L10" s="6"/>
      <c r="M10" s="6"/>
      <c r="N10" s="117"/>
      <c r="O10" s="117"/>
      <c r="P10" s="117"/>
      <c r="Q10" s="117"/>
      <c r="R10" s="117"/>
      <c r="S10" s="117"/>
      <c r="T10" s="117"/>
      <c r="U10" s="202"/>
      <c r="V10" s="202"/>
      <c r="W10" s="202"/>
      <c r="X10" s="202"/>
      <c r="Y10" s="202"/>
      <c r="Z10" s="202"/>
      <c r="AA10" s="202"/>
      <c r="AB10" s="202"/>
      <c r="AC10" s="202"/>
    </row>
    <row r="11" spans="1:29" ht="12">
      <c r="A11" s="117"/>
      <c r="B11" s="123"/>
      <c r="C11" s="124"/>
      <c r="D11" s="6"/>
      <c r="E11" s="6"/>
      <c r="F11" s="6"/>
      <c r="G11" s="6"/>
      <c r="H11" s="6"/>
      <c r="I11" s="6"/>
      <c r="J11" s="6"/>
      <c r="K11" s="6"/>
      <c r="L11" s="6"/>
      <c r="M11" s="6"/>
      <c r="N11" s="117"/>
      <c r="O11" s="117"/>
      <c r="P11" s="117"/>
      <c r="Q11" s="117"/>
      <c r="R11" s="117"/>
      <c r="S11" s="117"/>
      <c r="T11" s="117"/>
      <c r="U11" s="202"/>
      <c r="V11" s="202"/>
      <c r="W11" s="202"/>
      <c r="X11" s="202"/>
      <c r="Y11" s="202"/>
      <c r="Z11" s="202"/>
      <c r="AA11" s="202"/>
      <c r="AB11" s="202"/>
      <c r="AC11" s="202"/>
    </row>
    <row r="12" spans="1:29" ht="12.75">
      <c r="A12" s="117"/>
      <c r="B12" s="117"/>
      <c r="C12" s="117"/>
      <c r="D12" s="125"/>
      <c r="E12" s="117"/>
      <c r="F12" s="117"/>
      <c r="G12" s="117"/>
      <c r="H12" s="117"/>
      <c r="I12" s="117"/>
      <c r="J12" s="117"/>
      <c r="K12" s="117"/>
      <c r="L12" s="117"/>
      <c r="M12" s="117"/>
      <c r="N12" s="117" t="s">
        <v>56</v>
      </c>
      <c r="O12" s="117" t="s">
        <v>57</v>
      </c>
      <c r="P12" s="117"/>
      <c r="Q12" s="117"/>
      <c r="R12" s="117"/>
      <c r="S12" s="117"/>
      <c r="T12" s="117"/>
      <c r="U12" s="202"/>
      <c r="V12" s="202"/>
      <c r="W12" s="202"/>
      <c r="X12" s="202"/>
      <c r="Y12" s="202"/>
      <c r="Z12" s="202"/>
      <c r="AA12" s="202"/>
      <c r="AB12" s="202"/>
      <c r="AC12" s="202"/>
    </row>
    <row r="13" spans="1:29" ht="12.75">
      <c r="A13" s="117"/>
      <c r="B13" s="117"/>
      <c r="C13" s="117"/>
      <c r="D13" s="125"/>
      <c r="E13" s="117"/>
      <c r="F13" s="117"/>
      <c r="G13" s="117"/>
      <c r="H13" s="117"/>
      <c r="I13" s="117"/>
      <c r="J13" s="117"/>
      <c r="K13" s="117"/>
      <c r="L13" s="117"/>
      <c r="M13" s="117"/>
      <c r="N13" s="117" t="s">
        <v>54</v>
      </c>
      <c r="O13" s="117" t="s">
        <v>55</v>
      </c>
      <c r="P13" s="117"/>
      <c r="Q13" s="117"/>
      <c r="R13" s="117"/>
      <c r="S13" s="117"/>
      <c r="T13" s="117"/>
      <c r="U13" s="202"/>
      <c r="V13" s="202"/>
      <c r="W13" s="202"/>
      <c r="X13" s="202"/>
      <c r="Y13" s="202"/>
      <c r="Z13" s="202"/>
      <c r="AA13" s="202"/>
      <c r="AB13" s="202"/>
      <c r="AC13" s="202"/>
    </row>
    <row r="14" spans="1:29" ht="12.75">
      <c r="A14" s="117"/>
      <c r="B14" s="117"/>
      <c r="C14" s="117"/>
      <c r="D14" s="125"/>
      <c r="E14" s="117"/>
      <c r="F14" s="117"/>
      <c r="G14" s="117"/>
      <c r="H14" s="117"/>
      <c r="I14" s="117"/>
      <c r="J14" s="117"/>
      <c r="K14" s="117"/>
      <c r="L14" s="117"/>
      <c r="M14" s="117"/>
      <c r="N14" s="117" t="s">
        <v>53</v>
      </c>
      <c r="O14" s="117" t="s">
        <v>58</v>
      </c>
      <c r="P14" s="117"/>
      <c r="Q14" s="117"/>
      <c r="R14" s="117"/>
      <c r="S14" s="117"/>
      <c r="T14" s="117"/>
      <c r="U14" s="202"/>
      <c r="V14" s="202"/>
      <c r="W14" s="202"/>
      <c r="X14" s="202"/>
      <c r="Y14" s="202"/>
      <c r="Z14" s="202"/>
      <c r="AA14" s="202"/>
      <c r="AB14" s="202"/>
      <c r="AC14" s="202"/>
    </row>
    <row r="15" spans="1:29" ht="13.5" thickBot="1">
      <c r="A15" s="117"/>
      <c r="B15" s="117"/>
      <c r="C15" s="117"/>
      <c r="D15" s="125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202"/>
      <c r="V15" s="202"/>
      <c r="W15" s="202"/>
      <c r="X15" s="202"/>
      <c r="Y15" s="202"/>
      <c r="Z15" s="202"/>
      <c r="AA15" s="202"/>
      <c r="AB15" s="202"/>
      <c r="AC15" s="202"/>
    </row>
    <row r="16" spans="1:29" ht="12">
      <c r="A16" s="117"/>
      <c r="B16" s="52"/>
      <c r="C16" s="53"/>
      <c r="D16" s="54"/>
      <c r="E16" s="117"/>
      <c r="F16" s="52"/>
      <c r="G16" s="53"/>
      <c r="H16" s="54"/>
      <c r="I16" s="117"/>
      <c r="J16" s="52"/>
      <c r="K16" s="53"/>
      <c r="L16" s="54"/>
      <c r="M16" s="117"/>
      <c r="N16" s="117"/>
      <c r="O16" s="117"/>
      <c r="P16" s="117"/>
      <c r="Q16" s="117"/>
      <c r="R16" s="117"/>
      <c r="S16" s="117"/>
      <c r="T16" s="117"/>
      <c r="U16" s="202"/>
      <c r="V16" s="202"/>
      <c r="W16" s="202"/>
      <c r="X16" s="202"/>
      <c r="Y16" s="202"/>
      <c r="Z16" s="202"/>
      <c r="AA16" s="202"/>
      <c r="AB16" s="202"/>
      <c r="AC16" s="202"/>
    </row>
    <row r="17" spans="1:29" ht="12">
      <c r="A17" s="117"/>
      <c r="B17" s="55"/>
      <c r="D17" s="71" t="s">
        <v>40</v>
      </c>
      <c r="E17" s="126"/>
      <c r="F17" s="55"/>
      <c r="H17" s="71" t="s">
        <v>40</v>
      </c>
      <c r="I17" s="117"/>
      <c r="J17" s="55"/>
      <c r="L17" s="71" t="s">
        <v>40</v>
      </c>
      <c r="M17" s="117"/>
      <c r="N17" s="117"/>
      <c r="O17" s="40" t="s">
        <v>40</v>
      </c>
      <c r="P17" s="40" t="s">
        <v>52</v>
      </c>
      <c r="Q17" s="40" t="s">
        <v>53</v>
      </c>
      <c r="R17" s="117"/>
      <c r="S17" s="117"/>
      <c r="T17" s="117"/>
      <c r="U17" s="202"/>
      <c r="V17" s="207"/>
      <c r="W17" s="202"/>
      <c r="X17" s="202"/>
      <c r="Y17" s="202"/>
      <c r="Z17" s="202"/>
      <c r="AA17" s="47" t="s">
        <v>40</v>
      </c>
      <c r="AB17" s="47" t="s">
        <v>226</v>
      </c>
      <c r="AC17" s="202"/>
    </row>
    <row r="18" spans="1:29" ht="12">
      <c r="A18" s="117"/>
      <c r="B18" s="55">
        <v>1</v>
      </c>
      <c r="D18" s="71">
        <v>5</v>
      </c>
      <c r="E18" s="117"/>
      <c r="F18" s="55">
        <v>1</v>
      </c>
      <c r="H18" s="71">
        <v>0</v>
      </c>
      <c r="I18" s="117"/>
      <c r="J18" s="55">
        <v>1</v>
      </c>
      <c r="L18" s="71">
        <v>0</v>
      </c>
      <c r="M18" s="117"/>
      <c r="N18" s="117">
        <v>1</v>
      </c>
      <c r="O18" s="40">
        <v>0</v>
      </c>
      <c r="P18" s="9">
        <f aca="true" t="shared" si="0" ref="P18:P27">O18-mean_is</f>
        <v>-5</v>
      </c>
      <c r="Q18" s="9">
        <f>P18*P18</f>
        <v>25</v>
      </c>
      <c r="R18" s="117"/>
      <c r="S18" s="117"/>
      <c r="T18" s="117"/>
      <c r="U18" s="202"/>
      <c r="V18" s="207"/>
      <c r="W18" s="202"/>
      <c r="X18" s="202"/>
      <c r="Y18" s="202"/>
      <c r="Z18" s="202">
        <v>1</v>
      </c>
      <c r="AA18" s="9">
        <f>O18</f>
        <v>0</v>
      </c>
      <c r="AB18" s="206">
        <f>AA18*AA18</f>
        <v>0</v>
      </c>
      <c r="AC18" s="207"/>
    </row>
    <row r="19" spans="1:29" ht="12">
      <c r="A19" s="117"/>
      <c r="B19" s="55">
        <v>2</v>
      </c>
      <c r="D19" s="71">
        <v>5</v>
      </c>
      <c r="E19" s="117"/>
      <c r="F19" s="55">
        <v>2</v>
      </c>
      <c r="H19" s="71">
        <v>2</v>
      </c>
      <c r="I19" s="117"/>
      <c r="J19" s="55">
        <v>2</v>
      </c>
      <c r="L19" s="71">
        <v>0</v>
      </c>
      <c r="M19" s="117"/>
      <c r="N19" s="117">
        <v>2</v>
      </c>
      <c r="O19" s="40">
        <v>0</v>
      </c>
      <c r="P19" s="9">
        <f t="shared" si="0"/>
        <v>-5</v>
      </c>
      <c r="Q19" s="9">
        <f aca="true" t="shared" si="1" ref="Q19:Q27">P19*P19</f>
        <v>25</v>
      </c>
      <c r="R19" s="117"/>
      <c r="S19" s="117"/>
      <c r="T19" s="117"/>
      <c r="U19" s="202"/>
      <c r="V19" s="207"/>
      <c r="W19" s="202"/>
      <c r="X19" s="202"/>
      <c r="Y19" s="202"/>
      <c r="Z19" s="202">
        <v>2</v>
      </c>
      <c r="AA19" s="9">
        <f aca="true" t="shared" si="2" ref="AA19:AA27">O19</f>
        <v>0</v>
      </c>
      <c r="AB19" s="206">
        <f aca="true" t="shared" si="3" ref="AB19:AB27">AA19*AA19</f>
        <v>0</v>
      </c>
      <c r="AC19" s="207"/>
    </row>
    <row r="20" spans="1:29" ht="12">
      <c r="A20" s="117"/>
      <c r="B20" s="55">
        <v>3</v>
      </c>
      <c r="D20" s="71">
        <v>5</v>
      </c>
      <c r="E20" s="117"/>
      <c r="F20" s="55">
        <v>3</v>
      </c>
      <c r="H20" s="71">
        <v>4</v>
      </c>
      <c r="I20" s="117"/>
      <c r="J20" s="55">
        <v>3</v>
      </c>
      <c r="L20" s="71">
        <v>0</v>
      </c>
      <c r="M20" s="117"/>
      <c r="N20" s="117">
        <v>3</v>
      </c>
      <c r="O20" s="40">
        <v>0</v>
      </c>
      <c r="P20" s="9">
        <f t="shared" si="0"/>
        <v>-5</v>
      </c>
      <c r="Q20" s="9">
        <f t="shared" si="1"/>
        <v>25</v>
      </c>
      <c r="R20" s="117"/>
      <c r="S20" s="117"/>
      <c r="T20" s="117"/>
      <c r="U20" s="202"/>
      <c r="V20" s="207"/>
      <c r="W20" s="202"/>
      <c r="X20" s="202"/>
      <c r="Y20" s="202"/>
      <c r="Z20" s="202">
        <v>3</v>
      </c>
      <c r="AA20" s="9">
        <f t="shared" si="2"/>
        <v>0</v>
      </c>
      <c r="AB20" s="206">
        <f t="shared" si="3"/>
        <v>0</v>
      </c>
      <c r="AC20" s="207"/>
    </row>
    <row r="21" spans="1:29" ht="12">
      <c r="A21" s="117"/>
      <c r="B21" s="55">
        <v>4</v>
      </c>
      <c r="D21" s="71">
        <v>5</v>
      </c>
      <c r="E21" s="117"/>
      <c r="F21" s="55">
        <v>4</v>
      </c>
      <c r="H21" s="71">
        <v>4</v>
      </c>
      <c r="I21" s="117"/>
      <c r="J21" s="55">
        <v>4</v>
      </c>
      <c r="L21" s="71">
        <v>4</v>
      </c>
      <c r="M21" s="117"/>
      <c r="N21" s="117">
        <v>4</v>
      </c>
      <c r="O21" s="40">
        <v>4</v>
      </c>
      <c r="P21" s="9">
        <f t="shared" si="0"/>
        <v>-1</v>
      </c>
      <c r="Q21" s="9">
        <f t="shared" si="1"/>
        <v>1</v>
      </c>
      <c r="R21" s="117"/>
      <c r="S21" s="117"/>
      <c r="T21" s="117"/>
      <c r="U21" s="202"/>
      <c r="V21" s="207"/>
      <c r="W21" s="202"/>
      <c r="X21" s="202"/>
      <c r="Y21" s="202"/>
      <c r="Z21" s="202">
        <v>4</v>
      </c>
      <c r="AA21" s="9">
        <f t="shared" si="2"/>
        <v>4</v>
      </c>
      <c r="AB21" s="206">
        <f t="shared" si="3"/>
        <v>16</v>
      </c>
      <c r="AC21" s="207"/>
    </row>
    <row r="22" spans="1:29" ht="12">
      <c r="A22" s="117"/>
      <c r="B22" s="55">
        <v>5</v>
      </c>
      <c r="D22" s="71">
        <v>5</v>
      </c>
      <c r="E22" s="117"/>
      <c r="F22" s="55">
        <v>5</v>
      </c>
      <c r="H22" s="71">
        <v>5</v>
      </c>
      <c r="I22" s="117"/>
      <c r="J22" s="55">
        <v>5</v>
      </c>
      <c r="L22" s="71">
        <v>5</v>
      </c>
      <c r="M22" s="117"/>
      <c r="N22" s="117">
        <v>5</v>
      </c>
      <c r="O22" s="40">
        <v>5</v>
      </c>
      <c r="P22" s="9">
        <f t="shared" si="0"/>
        <v>0</v>
      </c>
      <c r="Q22" s="9">
        <f t="shared" si="1"/>
        <v>0</v>
      </c>
      <c r="R22" s="117"/>
      <c r="S22" s="117"/>
      <c r="T22" s="117"/>
      <c r="U22" s="202"/>
      <c r="V22" s="207"/>
      <c r="W22" s="202"/>
      <c r="X22" s="202"/>
      <c r="Y22" s="202"/>
      <c r="Z22" s="202">
        <v>5</v>
      </c>
      <c r="AA22" s="9">
        <f t="shared" si="2"/>
        <v>5</v>
      </c>
      <c r="AB22" s="206">
        <f t="shared" si="3"/>
        <v>25</v>
      </c>
      <c r="AC22" s="207"/>
    </row>
    <row r="23" spans="1:29" ht="12">
      <c r="A23" s="117"/>
      <c r="B23" s="55">
        <v>6</v>
      </c>
      <c r="D23" s="71">
        <v>5</v>
      </c>
      <c r="E23" s="117"/>
      <c r="F23" s="55">
        <v>6</v>
      </c>
      <c r="H23" s="71">
        <v>5</v>
      </c>
      <c r="I23" s="117"/>
      <c r="J23" s="55">
        <v>6</v>
      </c>
      <c r="L23" s="71">
        <v>5</v>
      </c>
      <c r="M23" s="117"/>
      <c r="N23" s="117">
        <v>6</v>
      </c>
      <c r="O23" s="40">
        <v>5</v>
      </c>
      <c r="P23" s="9">
        <f t="shared" si="0"/>
        <v>0</v>
      </c>
      <c r="Q23" s="9">
        <f t="shared" si="1"/>
        <v>0</v>
      </c>
      <c r="R23" s="117"/>
      <c r="S23" s="117"/>
      <c r="T23" s="117"/>
      <c r="U23" s="202"/>
      <c r="V23" s="207"/>
      <c r="W23" s="202"/>
      <c r="X23" s="202"/>
      <c r="Y23" s="202"/>
      <c r="Z23" s="202">
        <v>6</v>
      </c>
      <c r="AA23" s="9">
        <f t="shared" si="2"/>
        <v>5</v>
      </c>
      <c r="AB23" s="206">
        <f t="shared" si="3"/>
        <v>25</v>
      </c>
      <c r="AC23" s="207"/>
    </row>
    <row r="24" spans="1:29" ht="12">
      <c r="A24" s="117"/>
      <c r="B24" s="55">
        <v>7</v>
      </c>
      <c r="D24" s="71">
        <v>5</v>
      </c>
      <c r="E24" s="117"/>
      <c r="F24" s="55">
        <v>7</v>
      </c>
      <c r="H24" s="71">
        <v>6</v>
      </c>
      <c r="I24" s="117"/>
      <c r="J24" s="55">
        <v>7</v>
      </c>
      <c r="L24" s="71">
        <v>6</v>
      </c>
      <c r="M24" s="117"/>
      <c r="N24" s="117">
        <v>7</v>
      </c>
      <c r="O24" s="40">
        <v>6</v>
      </c>
      <c r="P24" s="9">
        <f t="shared" si="0"/>
        <v>1</v>
      </c>
      <c r="Q24" s="9">
        <f t="shared" si="1"/>
        <v>1</v>
      </c>
      <c r="R24" s="117"/>
      <c r="S24" s="117"/>
      <c r="T24" s="117"/>
      <c r="U24" s="202"/>
      <c r="V24" s="207"/>
      <c r="W24" s="202"/>
      <c r="X24" s="202"/>
      <c r="Y24" s="202"/>
      <c r="Z24" s="202">
        <v>7</v>
      </c>
      <c r="AA24" s="9">
        <f t="shared" si="2"/>
        <v>6</v>
      </c>
      <c r="AB24" s="206">
        <f t="shared" si="3"/>
        <v>36</v>
      </c>
      <c r="AC24" s="207"/>
    </row>
    <row r="25" spans="1:29" ht="12">
      <c r="A25" s="117"/>
      <c r="B25" s="55">
        <v>8</v>
      </c>
      <c r="D25" s="71">
        <v>5</v>
      </c>
      <c r="E25" s="117"/>
      <c r="F25" s="55">
        <v>8</v>
      </c>
      <c r="H25" s="71">
        <v>6</v>
      </c>
      <c r="I25" s="117"/>
      <c r="J25" s="55">
        <v>8</v>
      </c>
      <c r="L25" s="71">
        <v>10</v>
      </c>
      <c r="M25" s="117"/>
      <c r="N25" s="117">
        <v>8</v>
      </c>
      <c r="O25" s="40">
        <v>10</v>
      </c>
      <c r="P25" s="9">
        <f t="shared" si="0"/>
        <v>5</v>
      </c>
      <c r="Q25" s="9">
        <f t="shared" si="1"/>
        <v>25</v>
      </c>
      <c r="R25" s="117"/>
      <c r="S25" s="117"/>
      <c r="T25" s="117"/>
      <c r="U25" s="202"/>
      <c r="V25" s="207"/>
      <c r="W25" s="202"/>
      <c r="X25" s="202"/>
      <c r="Y25" s="202"/>
      <c r="Z25" s="202">
        <v>8</v>
      </c>
      <c r="AA25" s="9">
        <f t="shared" si="2"/>
        <v>10</v>
      </c>
      <c r="AB25" s="206">
        <f t="shared" si="3"/>
        <v>100</v>
      </c>
      <c r="AC25" s="207"/>
    </row>
    <row r="26" spans="1:29" ht="12">
      <c r="A26" s="117"/>
      <c r="B26" s="55">
        <v>9</v>
      </c>
      <c r="D26" s="71">
        <v>5</v>
      </c>
      <c r="E26" s="117"/>
      <c r="F26" s="55">
        <v>9</v>
      </c>
      <c r="H26" s="71">
        <v>8</v>
      </c>
      <c r="I26" s="117"/>
      <c r="J26" s="55">
        <v>9</v>
      </c>
      <c r="L26" s="71">
        <v>10</v>
      </c>
      <c r="M26" s="117"/>
      <c r="N26" s="117">
        <v>9</v>
      </c>
      <c r="O26" s="40">
        <v>10</v>
      </c>
      <c r="P26" s="9">
        <f t="shared" si="0"/>
        <v>5</v>
      </c>
      <c r="Q26" s="9">
        <f t="shared" si="1"/>
        <v>25</v>
      </c>
      <c r="R26" s="117"/>
      <c r="S26" s="117"/>
      <c r="T26" s="117"/>
      <c r="U26" s="202"/>
      <c r="V26" s="207"/>
      <c r="W26" s="202"/>
      <c r="X26" s="202"/>
      <c r="Y26" s="202"/>
      <c r="Z26" s="202">
        <v>9</v>
      </c>
      <c r="AA26" s="9">
        <f t="shared" si="2"/>
        <v>10</v>
      </c>
      <c r="AB26" s="206">
        <f t="shared" si="3"/>
        <v>100</v>
      </c>
      <c r="AC26" s="207"/>
    </row>
    <row r="27" spans="1:29" ht="12">
      <c r="A27" s="117"/>
      <c r="B27" s="55">
        <v>10</v>
      </c>
      <c r="D27" s="71">
        <v>5</v>
      </c>
      <c r="E27" s="117"/>
      <c r="F27" s="55">
        <v>10</v>
      </c>
      <c r="H27" s="71">
        <v>10</v>
      </c>
      <c r="I27" s="117"/>
      <c r="J27" s="55">
        <v>10</v>
      </c>
      <c r="L27" s="71">
        <v>10</v>
      </c>
      <c r="M27" s="117"/>
      <c r="N27" s="117">
        <v>10</v>
      </c>
      <c r="O27" s="40">
        <v>10</v>
      </c>
      <c r="P27" s="9">
        <f t="shared" si="0"/>
        <v>5</v>
      </c>
      <c r="Q27" s="9">
        <f t="shared" si="1"/>
        <v>25</v>
      </c>
      <c r="R27" s="117"/>
      <c r="S27" s="117"/>
      <c r="T27" s="117"/>
      <c r="U27" s="202"/>
      <c r="V27" s="207"/>
      <c r="W27" s="202"/>
      <c r="X27" s="202"/>
      <c r="Y27" s="202"/>
      <c r="Z27" s="202">
        <v>10</v>
      </c>
      <c r="AA27" s="9">
        <f t="shared" si="2"/>
        <v>10</v>
      </c>
      <c r="AB27" s="206">
        <f t="shared" si="3"/>
        <v>100</v>
      </c>
      <c r="AC27" s="207"/>
    </row>
    <row r="28" spans="1:29" ht="12">
      <c r="A28" s="117"/>
      <c r="B28" s="55"/>
      <c r="D28" s="72"/>
      <c r="E28" s="117"/>
      <c r="F28" s="55"/>
      <c r="H28" s="72"/>
      <c r="I28" s="117"/>
      <c r="J28" s="55"/>
      <c r="L28" s="72"/>
      <c r="M28" s="117"/>
      <c r="N28" s="117"/>
      <c r="O28" s="117"/>
      <c r="P28" s="117"/>
      <c r="Q28" s="117"/>
      <c r="R28" s="117"/>
      <c r="S28" s="117"/>
      <c r="T28" s="117"/>
      <c r="U28" s="202"/>
      <c r="V28" s="212"/>
      <c r="W28" s="202"/>
      <c r="X28" s="202"/>
      <c r="Y28" s="202"/>
      <c r="Z28" s="203" t="s">
        <v>227</v>
      </c>
      <c r="AA28" s="206">
        <f>SUM(AA18:AA27)</f>
        <v>50</v>
      </c>
      <c r="AB28" s="202"/>
      <c r="AC28" s="202"/>
    </row>
    <row r="29" spans="1:29" ht="12">
      <c r="A29" s="117"/>
      <c r="B29" s="56" t="s">
        <v>39</v>
      </c>
      <c r="C29" s="51"/>
      <c r="D29" s="73">
        <f>AVERAGE(D18:D27)</f>
        <v>5</v>
      </c>
      <c r="E29" s="117"/>
      <c r="F29" s="56" t="s">
        <v>39</v>
      </c>
      <c r="G29" s="51"/>
      <c r="H29" s="73">
        <f>AVERAGE(H18:H27)</f>
        <v>5</v>
      </c>
      <c r="I29" s="117"/>
      <c r="J29" s="56" t="s">
        <v>39</v>
      </c>
      <c r="K29" s="51"/>
      <c r="L29" s="73">
        <f>AVERAGE(L18:L27)</f>
        <v>5</v>
      </c>
      <c r="M29" s="117"/>
      <c r="N29" s="117"/>
      <c r="O29" s="75" t="s">
        <v>39</v>
      </c>
      <c r="P29" s="117"/>
      <c r="Q29" s="117"/>
      <c r="R29" s="117"/>
      <c r="S29" s="117"/>
      <c r="T29" s="117"/>
      <c r="U29" s="202"/>
      <c r="V29" s="213"/>
      <c r="W29" s="202"/>
      <c r="X29" s="202"/>
      <c r="Y29" s="202"/>
      <c r="Z29" s="208" t="s">
        <v>228</v>
      </c>
      <c r="AA29" s="206">
        <f>AA28*AA28</f>
        <v>2500</v>
      </c>
      <c r="AB29" s="202"/>
      <c r="AC29" s="202"/>
    </row>
    <row r="30" spans="1:29" ht="12.75" thickBot="1">
      <c r="A30" s="117"/>
      <c r="B30" s="57" t="s">
        <v>44</v>
      </c>
      <c r="C30" s="21"/>
      <c r="D30" s="74">
        <f>STDEV(D18:D27)</f>
        <v>0</v>
      </c>
      <c r="E30" s="117"/>
      <c r="F30" s="57" t="s">
        <v>44</v>
      </c>
      <c r="G30" s="21"/>
      <c r="H30" s="74">
        <f>STDEV(H18:H27)</f>
        <v>2.8284271247461903</v>
      </c>
      <c r="I30" s="117"/>
      <c r="J30" s="57" t="s">
        <v>44</v>
      </c>
      <c r="K30" s="21"/>
      <c r="L30" s="74">
        <f>STDEV(L18:L27)</f>
        <v>4.109609335312651</v>
      </c>
      <c r="M30" s="117"/>
      <c r="N30" s="117"/>
      <c r="O30" s="76">
        <f>AVERAGE(O18:O27)</f>
        <v>5</v>
      </c>
      <c r="P30" s="117"/>
      <c r="Q30" s="117"/>
      <c r="R30" s="117"/>
      <c r="S30" s="117"/>
      <c r="T30" s="117"/>
      <c r="U30" s="202"/>
      <c r="V30" s="213"/>
      <c r="W30" s="202"/>
      <c r="X30" s="202"/>
      <c r="Y30" s="202"/>
      <c r="Z30" s="202"/>
      <c r="AA30" s="203" t="s">
        <v>225</v>
      </c>
      <c r="AB30" s="206">
        <f>SUM(AB18:AB27)</f>
        <v>402</v>
      </c>
      <c r="AC30" s="202"/>
    </row>
    <row r="31" spans="1:29" ht="16.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27" t="s">
        <v>61</v>
      </c>
      <c r="Q31" s="9">
        <f>SUM(Q18:Q27)</f>
        <v>152</v>
      </c>
      <c r="R31" s="117"/>
      <c r="S31" s="117"/>
      <c r="T31" s="117"/>
      <c r="U31" s="202"/>
      <c r="V31" s="202"/>
      <c r="W31" s="202"/>
      <c r="X31" s="202"/>
      <c r="Y31" s="202"/>
      <c r="Z31" s="202"/>
      <c r="AA31" s="202"/>
      <c r="AB31" s="202"/>
      <c r="AC31" s="202"/>
    </row>
    <row r="32" spans="1:29" ht="15.7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28"/>
      <c r="K32" s="128"/>
      <c r="L32" s="118"/>
      <c r="M32" s="128"/>
      <c r="N32" s="117"/>
      <c r="O32" s="117"/>
      <c r="P32" s="117"/>
      <c r="Q32" s="117"/>
      <c r="R32" s="117"/>
      <c r="S32" s="117"/>
      <c r="T32" s="117"/>
      <c r="U32" s="204"/>
      <c r="V32" s="205"/>
      <c r="W32" s="204"/>
      <c r="X32" s="202"/>
      <c r="Y32" s="202"/>
      <c r="Z32" s="208" t="s">
        <v>229</v>
      </c>
      <c r="AA32" s="209">
        <v>10</v>
      </c>
      <c r="AB32" s="202"/>
      <c r="AC32" s="202"/>
    </row>
    <row r="33" spans="1:29" ht="13.5" customHeight="1">
      <c r="A33" s="117"/>
      <c r="B33" s="117"/>
      <c r="C33" s="117"/>
      <c r="D33" s="117"/>
      <c r="E33" s="117"/>
      <c r="F33" s="117"/>
      <c r="G33" s="117"/>
      <c r="H33" s="117"/>
      <c r="I33" s="117"/>
      <c r="J33" s="128"/>
      <c r="K33" s="128"/>
      <c r="L33" s="119"/>
      <c r="M33" s="128"/>
      <c r="N33" s="117"/>
      <c r="O33" s="117"/>
      <c r="P33" s="127" t="s">
        <v>60</v>
      </c>
      <c r="Q33" s="9">
        <v>9</v>
      </c>
      <c r="R33" s="117"/>
      <c r="S33" s="117"/>
      <c r="T33" s="117"/>
      <c r="U33" s="204"/>
      <c r="V33" s="203"/>
      <c r="W33" s="202"/>
      <c r="X33" s="202"/>
      <c r="Y33" s="202"/>
      <c r="Z33" s="208" t="s">
        <v>230</v>
      </c>
      <c r="AA33" s="206">
        <f>AA32-1</f>
        <v>9</v>
      </c>
      <c r="AB33" s="202"/>
      <c r="AC33" s="202"/>
    </row>
    <row r="34" spans="1:29" ht="12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202"/>
      <c r="V34" s="202"/>
      <c r="W34" s="202"/>
      <c r="X34" s="202"/>
      <c r="Y34" s="202"/>
      <c r="Z34" s="202"/>
      <c r="AA34" s="202"/>
      <c r="AB34" s="202"/>
      <c r="AC34" s="202"/>
    </row>
    <row r="35" spans="1:29" ht="12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27" t="s">
        <v>62</v>
      </c>
      <c r="Q35" s="9">
        <f>Q31/Q33</f>
        <v>16.88888888888889</v>
      </c>
      <c r="R35" s="117" t="s">
        <v>63</v>
      </c>
      <c r="S35" s="117"/>
      <c r="T35" s="117"/>
      <c r="U35" s="202"/>
      <c r="V35" s="202"/>
      <c r="W35" s="202"/>
      <c r="X35" s="202"/>
      <c r="Y35" s="202"/>
      <c r="Z35" s="208" t="s">
        <v>232</v>
      </c>
      <c r="AA35" s="206">
        <f>AA32*AB30-AA29</f>
        <v>1520</v>
      </c>
      <c r="AB35" s="202"/>
      <c r="AC35" s="202"/>
    </row>
    <row r="36" spans="1:29" ht="6.75" customHeight="1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202"/>
      <c r="V36" s="202"/>
      <c r="W36" s="204"/>
      <c r="X36" s="202"/>
      <c r="Y36" s="211"/>
      <c r="Z36" s="211"/>
      <c r="AA36" s="211"/>
      <c r="AB36" s="202"/>
      <c r="AC36" s="202"/>
    </row>
    <row r="37" spans="1:29" ht="12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214" t="s">
        <v>234</v>
      </c>
      <c r="Q37" s="9">
        <f>SQRT(Q35)</f>
        <v>4.109609335312651</v>
      </c>
      <c r="R37" s="117"/>
      <c r="S37" s="117"/>
      <c r="T37" s="117"/>
      <c r="U37" s="202"/>
      <c r="V37" s="202"/>
      <c r="W37" s="202"/>
      <c r="X37" s="202"/>
      <c r="Y37" s="202"/>
      <c r="Z37" s="208" t="s">
        <v>233</v>
      </c>
      <c r="AA37" s="206">
        <f>AA32*AA33</f>
        <v>90</v>
      </c>
      <c r="AB37" s="202"/>
      <c r="AC37" s="202"/>
    </row>
    <row r="38" spans="1:29" ht="12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202"/>
      <c r="V38" s="202"/>
      <c r="W38" s="202"/>
      <c r="X38" s="202"/>
      <c r="Y38" s="202"/>
      <c r="Z38" s="202"/>
      <c r="AA38" s="202"/>
      <c r="AB38" s="202"/>
      <c r="AC38" s="202"/>
    </row>
    <row r="39" spans="1:29" ht="14.25" customHeight="1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202"/>
      <c r="V39" s="202"/>
      <c r="W39" s="202"/>
      <c r="X39" s="202"/>
      <c r="Y39" s="202"/>
      <c r="Z39" s="208" t="s">
        <v>235</v>
      </c>
      <c r="AA39" s="206">
        <f>AA35/AA37</f>
        <v>16.88888888888889</v>
      </c>
      <c r="AB39" s="202"/>
      <c r="AC39" s="202"/>
    </row>
    <row r="40" spans="1:29" ht="13.5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202"/>
      <c r="V40" s="202"/>
      <c r="W40" s="202"/>
      <c r="X40" s="202"/>
      <c r="Y40" s="202"/>
      <c r="Z40" s="202"/>
      <c r="AA40" s="207"/>
      <c r="AB40" s="202"/>
      <c r="AC40" s="202"/>
    </row>
    <row r="41" spans="1:29" ht="15.75" customHeight="1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202"/>
      <c r="V41" s="202"/>
      <c r="W41" s="202"/>
      <c r="X41" s="202"/>
      <c r="Y41" s="202"/>
      <c r="Z41" s="208" t="s">
        <v>231</v>
      </c>
      <c r="AA41" s="206">
        <f>SQRT(AA39)</f>
        <v>4.109609335312651</v>
      </c>
      <c r="AB41" s="202"/>
      <c r="AC41" s="202"/>
    </row>
    <row r="42" spans="1:29" ht="14.25" customHeight="1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202"/>
      <c r="V42" s="202"/>
      <c r="W42" s="202"/>
      <c r="X42" s="202"/>
      <c r="Y42" s="202"/>
      <c r="AB42" s="202"/>
      <c r="AC42" s="202"/>
    </row>
    <row r="43" spans="1:29" ht="15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202"/>
      <c r="V43" s="202"/>
      <c r="W43" s="202"/>
      <c r="X43" s="202"/>
      <c r="Y43" s="202"/>
      <c r="Z43" s="202"/>
      <c r="AA43" s="202"/>
      <c r="AB43" s="202"/>
      <c r="AC43" s="202"/>
    </row>
    <row r="44" spans="1:29" ht="14.25" customHeight="1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202"/>
      <c r="V44" s="202"/>
      <c r="W44" s="202"/>
      <c r="X44" s="202"/>
      <c r="Y44" s="202"/>
      <c r="Z44" s="202"/>
      <c r="AA44" s="202"/>
      <c r="AB44" s="202"/>
      <c r="AC44" s="202"/>
    </row>
    <row r="45" spans="1:29" ht="14.25" customHeight="1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202"/>
      <c r="V45" s="202"/>
      <c r="W45" s="202"/>
      <c r="X45" s="202"/>
      <c r="Y45" s="202"/>
      <c r="Z45" s="202"/>
      <c r="AA45" s="202"/>
      <c r="AB45" s="202"/>
      <c r="AC45" s="202"/>
    </row>
    <row r="46" spans="1:29" ht="12.75">
      <c r="A46" s="117"/>
      <c r="B46" s="117"/>
      <c r="C46" s="117"/>
      <c r="D46" s="125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202"/>
      <c r="V46" s="202"/>
      <c r="W46" s="202"/>
      <c r="X46" s="202"/>
      <c r="Y46" s="202"/>
      <c r="Z46" s="202"/>
      <c r="AA46" s="202"/>
      <c r="AB46" s="202"/>
      <c r="AC46" s="202"/>
    </row>
    <row r="47" spans="21:30" ht="12.75"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63" ht="12.75">
      <c r="G63" s="41" t="s">
        <v>18</v>
      </c>
    </row>
    <row r="64" ht="12.75">
      <c r="G64" s="41" t="s">
        <v>19</v>
      </c>
    </row>
    <row r="65" ht="12.75">
      <c r="G65" s="41" t="s">
        <v>20</v>
      </c>
    </row>
    <row r="66" ht="12.75">
      <c r="H66" s="41" t="s">
        <v>21</v>
      </c>
    </row>
    <row r="67" ht="12.75">
      <c r="H67" s="41" t="s">
        <v>22</v>
      </c>
    </row>
    <row r="68" ht="12.75">
      <c r="H68" s="41" t="s">
        <v>23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3.57421875" style="58" customWidth="1"/>
    <col min="2" max="2" width="8.8515625" style="58" customWidth="1"/>
    <col min="3" max="3" width="8.00390625" style="58" customWidth="1"/>
    <col min="4" max="4" width="8.7109375" style="58" customWidth="1"/>
    <col min="5" max="5" width="9.140625" style="58" customWidth="1"/>
    <col min="6" max="6" width="8.8515625" style="58" customWidth="1"/>
    <col min="7" max="11" width="9.140625" style="58" customWidth="1"/>
    <col min="12" max="12" width="13.57421875" style="58" customWidth="1"/>
    <col min="13" max="16384" width="9.140625" style="58" customWidth="1"/>
  </cols>
  <sheetData>
    <row r="1" ht="16.5" thickBot="1"/>
    <row r="2" spans="3:12" ht="16.5" thickBot="1">
      <c r="C2" s="129" t="s">
        <v>116</v>
      </c>
      <c r="D2" s="130"/>
      <c r="E2" s="130"/>
      <c r="F2" s="130"/>
      <c r="G2" s="130"/>
      <c r="H2" s="130"/>
      <c r="I2" s="130"/>
      <c r="J2" s="130"/>
      <c r="K2" s="130"/>
      <c r="L2" s="131"/>
    </row>
    <row r="5" ht="15.75"/>
    <row r="6" ht="16.5" thickBot="1">
      <c r="B6" s="58" t="s">
        <v>48</v>
      </c>
    </row>
    <row r="7" spans="2:7" ht="16.5" thickBot="1">
      <c r="B7" s="70" t="s">
        <v>40</v>
      </c>
      <c r="C7" s="66" t="s">
        <v>0</v>
      </c>
      <c r="D7" s="67" t="s">
        <v>1</v>
      </c>
      <c r="G7" s="68" t="s">
        <v>16</v>
      </c>
    </row>
    <row r="8" spans="1:7" ht="16.5" thickBot="1">
      <c r="A8" s="59"/>
      <c r="B8" s="65">
        <v>6</v>
      </c>
      <c r="C8" s="61">
        <v>3</v>
      </c>
      <c r="D8" s="62">
        <v>2</v>
      </c>
      <c r="G8" s="69">
        <f>(B8-C8)/D8</f>
        <v>1.5</v>
      </c>
    </row>
    <row r="9" spans="1:3" ht="15.75">
      <c r="A9" s="59"/>
      <c r="B9" s="59"/>
      <c r="C9" s="60"/>
    </row>
    <row r="10" ht="15.75">
      <c r="A10" s="59"/>
    </row>
    <row r="11" ht="15.75">
      <c r="A11" s="59"/>
    </row>
    <row r="12" ht="15.75">
      <c r="A12" s="59"/>
    </row>
    <row r="13" ht="15.75">
      <c r="A13" s="59"/>
    </row>
    <row r="14" spans="1:8" ht="15.75">
      <c r="A14" s="59"/>
      <c r="H14" s="59"/>
    </row>
    <row r="15" ht="15.75"/>
    <row r="16" ht="15.75"/>
    <row r="17" ht="15.75"/>
    <row r="18" ht="15.75"/>
    <row r="19" spans="1:3" ht="15.75">
      <c r="A19" s="59"/>
      <c r="B19" s="59"/>
      <c r="C19" s="60"/>
    </row>
    <row r="20" spans="1:3" ht="15.75">
      <c r="A20" s="59"/>
      <c r="B20" s="59"/>
      <c r="C20" s="60"/>
    </row>
    <row r="21" spans="1:3" ht="15.75">
      <c r="A21" s="59"/>
      <c r="B21" s="59"/>
      <c r="C21" s="60"/>
    </row>
    <row r="22" spans="1:3" ht="15.75">
      <c r="A22" s="59"/>
      <c r="B22" s="59"/>
      <c r="C22" s="60"/>
    </row>
    <row r="23" spans="1:13" ht="16.5" thickBot="1">
      <c r="A23" s="59"/>
      <c r="B23" s="58" t="s">
        <v>50</v>
      </c>
      <c r="H23" s="59"/>
      <c r="J23" s="59"/>
      <c r="K23" s="63"/>
      <c r="L23" s="59"/>
      <c r="M23" s="59"/>
    </row>
    <row r="24" spans="1:13" ht="16.5" thickBot="1">
      <c r="A24" s="59"/>
      <c r="B24" s="70" t="s">
        <v>16</v>
      </c>
      <c r="C24" s="66" t="s">
        <v>0</v>
      </c>
      <c r="D24" s="67" t="s">
        <v>1</v>
      </c>
      <c r="E24" s="58" t="s">
        <v>49</v>
      </c>
      <c r="G24" s="67" t="s">
        <v>40</v>
      </c>
      <c r="J24" s="59"/>
      <c r="K24" s="64"/>
      <c r="L24" s="59"/>
      <c r="M24" s="59"/>
    </row>
    <row r="25" spans="1:7" ht="16.5" thickBot="1">
      <c r="A25" s="59"/>
      <c r="B25" s="65">
        <v>1.5</v>
      </c>
      <c r="C25" s="61">
        <v>3</v>
      </c>
      <c r="D25" s="62">
        <v>2</v>
      </c>
      <c r="E25" s="42"/>
      <c r="G25" s="69">
        <f>C25+B25*D25</f>
        <v>6</v>
      </c>
    </row>
    <row r="26" spans="1:3" ht="15.75">
      <c r="A26" s="59"/>
      <c r="B26" s="59"/>
      <c r="C26" s="60"/>
    </row>
    <row r="27" spans="1:13" ht="15.75">
      <c r="A27" s="59"/>
      <c r="B27" s="59"/>
      <c r="C27" s="60"/>
      <c r="M27" s="59"/>
    </row>
    <row r="28" spans="1:13" ht="15.75">
      <c r="A28" s="59"/>
      <c r="B28" s="59"/>
      <c r="C28" s="60"/>
      <c r="M28" s="59"/>
    </row>
    <row r="29" spans="1:13" ht="15.75">
      <c r="A29" s="59"/>
      <c r="B29" s="59"/>
      <c r="C29" s="60"/>
      <c r="M29" s="59"/>
    </row>
    <row r="30" spans="1:13" ht="14.25" customHeight="1">
      <c r="A30" s="59"/>
      <c r="B30" s="59"/>
      <c r="C30" s="60"/>
      <c r="M30" s="59"/>
    </row>
    <row r="31" spans="1:13" ht="13.5" customHeight="1">
      <c r="A31" s="59"/>
      <c r="B31" s="59"/>
      <c r="C31" s="60"/>
      <c r="M31" s="59"/>
    </row>
    <row r="32" spans="1:13" ht="15.75" customHeight="1">
      <c r="A32" s="59"/>
      <c r="B32" s="59"/>
      <c r="C32" s="60"/>
      <c r="M32" s="59"/>
    </row>
    <row r="33" spans="1:13" ht="14.25" customHeight="1">
      <c r="A33" s="59"/>
      <c r="B33" s="59"/>
      <c r="C33" s="60"/>
      <c r="M33" s="59"/>
    </row>
    <row r="34" spans="1:13" ht="15" customHeight="1">
      <c r="A34" s="59"/>
      <c r="B34" s="59"/>
      <c r="C34" s="60"/>
      <c r="M34" s="59"/>
    </row>
    <row r="35" spans="1:13" ht="14.25" customHeight="1">
      <c r="A35" s="59"/>
      <c r="B35" s="59"/>
      <c r="C35" s="60"/>
      <c r="M35" s="59"/>
    </row>
    <row r="36" spans="1:3" ht="14.25" customHeight="1">
      <c r="A36" s="59"/>
      <c r="B36" s="59"/>
      <c r="C36" s="60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selection activeCell="R51" sqref="R51"/>
    </sheetView>
  </sheetViews>
  <sheetFormatPr defaultColWidth="9.140625" defaultRowHeight="12.75"/>
  <cols>
    <col min="1" max="1" width="3.57421875" style="5" customWidth="1"/>
    <col min="2" max="2" width="7.140625" style="5" customWidth="1"/>
    <col min="3" max="3" width="4.421875" style="42" customWidth="1"/>
    <col min="4" max="4" width="9.57421875" style="5" customWidth="1"/>
    <col min="5" max="5" width="6.28125" style="10" customWidth="1"/>
    <col min="6" max="6" width="2.00390625" style="6" customWidth="1"/>
    <col min="7" max="7" width="9.140625" style="5" customWidth="1"/>
    <col min="8" max="8" width="8.8515625" style="5" customWidth="1"/>
    <col min="9" max="9" width="3.28125" style="5" customWidth="1"/>
    <col min="10" max="13" width="9.140625" style="5" customWidth="1"/>
    <col min="14" max="14" width="13.57421875" style="5" customWidth="1"/>
    <col min="15" max="18" width="9.140625" style="5" customWidth="1"/>
    <col min="19" max="20" width="9.140625" style="6" customWidth="1"/>
    <col min="21" max="21" width="9.140625" style="39" customWidth="1"/>
    <col min="22" max="16384" width="9.140625" style="5" customWidth="1"/>
  </cols>
  <sheetData>
    <row r="1" spans="1:25" ht="12.75">
      <c r="A1" s="6"/>
      <c r="B1" s="6"/>
      <c r="C1" s="106"/>
      <c r="D1" s="6"/>
      <c r="E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U1" s="6"/>
      <c r="V1" s="6"/>
      <c r="W1" s="6"/>
      <c r="X1" s="6"/>
      <c r="Y1" s="6"/>
    </row>
    <row r="2" spans="1:25" ht="15.75">
      <c r="A2" s="6"/>
      <c r="B2" s="6"/>
      <c r="C2" s="4" t="s">
        <v>117</v>
      </c>
      <c r="D2" s="6"/>
      <c r="E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U2" s="6"/>
      <c r="V2" s="6"/>
      <c r="W2" s="6"/>
      <c r="X2" s="6"/>
      <c r="Y2" s="6"/>
    </row>
    <row r="3" spans="1:25" ht="12.75">
      <c r="A3" s="6"/>
      <c r="B3" s="6"/>
      <c r="C3" s="106"/>
      <c r="D3" s="6"/>
      <c r="E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U3" s="6"/>
      <c r="V3" s="6"/>
      <c r="W3" s="6"/>
      <c r="X3" s="6"/>
      <c r="Y3" s="6"/>
    </row>
    <row r="4" s="6" customFormat="1" ht="12.75">
      <c r="C4" s="106"/>
    </row>
    <row r="5" spans="1:18" ht="13.5" thickBot="1">
      <c r="A5" s="6"/>
      <c r="B5" s="6" t="s">
        <v>4</v>
      </c>
      <c r="C5" s="39" t="s">
        <v>3</v>
      </c>
      <c r="D5" s="84" t="s">
        <v>9</v>
      </c>
      <c r="E5" s="136" t="s">
        <v>10</v>
      </c>
      <c r="G5" s="82" t="s">
        <v>7</v>
      </c>
      <c r="H5" s="83" t="s">
        <v>8</v>
      </c>
      <c r="I5" s="6"/>
      <c r="J5" s="27" t="s">
        <v>5</v>
      </c>
      <c r="K5" s="27"/>
      <c r="L5" s="6"/>
      <c r="M5" s="6"/>
      <c r="N5" s="6"/>
      <c r="O5" s="6"/>
      <c r="P5" s="6"/>
      <c r="Q5" s="6"/>
      <c r="R5" s="6"/>
    </row>
    <row r="6" spans="1:18" ht="12.75">
      <c r="A6" s="6"/>
      <c r="B6" s="8" t="s">
        <v>2</v>
      </c>
      <c r="C6" s="40" t="s">
        <v>29</v>
      </c>
      <c r="D6" s="19" t="s">
        <v>16</v>
      </c>
      <c r="E6" s="137" t="s">
        <v>17</v>
      </c>
      <c r="G6" s="24" t="s">
        <v>0</v>
      </c>
      <c r="H6" s="25" t="s">
        <v>1</v>
      </c>
      <c r="I6" s="117"/>
      <c r="J6" s="102" t="s">
        <v>3</v>
      </c>
      <c r="K6" s="102" t="s">
        <v>28</v>
      </c>
      <c r="L6" s="39"/>
      <c r="M6" s="6"/>
      <c r="N6" s="6"/>
      <c r="O6" s="6"/>
      <c r="P6" s="6"/>
      <c r="Q6" s="6"/>
      <c r="R6" s="6"/>
    </row>
    <row r="7" spans="1:20" ht="13.5" thickBot="1">
      <c r="A7" s="6">
        <v>1</v>
      </c>
      <c r="B7" s="8"/>
      <c r="C7" s="40">
        <v>99</v>
      </c>
      <c r="D7" s="135">
        <f>(C7-G7)/H7</f>
        <v>4.8791947357069105</v>
      </c>
      <c r="E7" s="138" t="str">
        <f>IF(C7&gt;1.75,"9",IF(C7&gt;1.25,"8",IF(C7&gt;0.75,"7",IF(C7&gt;0.25,"6",IF(C7&gt;-0.25,"5",IF(C7&gt;-0.75,"4",IF(C7&gt;-0.125,"3",IF(G7&gt;-1.75,"2","1"))))))))</f>
        <v>9</v>
      </c>
      <c r="G7" s="22">
        <f>AVERAGE(C7:C36)</f>
        <v>-3.6</v>
      </c>
      <c r="H7" s="23">
        <f>STDEV(C7:C36)</f>
        <v>21.02806007088689</v>
      </c>
      <c r="I7" s="117"/>
      <c r="J7" s="140" t="s">
        <v>6</v>
      </c>
      <c r="K7" s="140" t="s">
        <v>30</v>
      </c>
      <c r="L7" s="17"/>
      <c r="M7" s="17"/>
      <c r="N7" s="17"/>
      <c r="O7" s="17"/>
      <c r="P7" s="17"/>
      <c r="Q7" s="17"/>
      <c r="R7" s="17"/>
      <c r="S7" s="17"/>
      <c r="T7" s="17"/>
    </row>
    <row r="8" spans="1:18" ht="12.75">
      <c r="A8" s="6">
        <v>2</v>
      </c>
      <c r="B8" s="8"/>
      <c r="C8" s="40">
        <v>3</v>
      </c>
      <c r="D8" s="135">
        <f>(C8-G7)/H7</f>
        <v>0.3138663280279299</v>
      </c>
      <c r="E8" s="138" t="str">
        <f aca="true" t="shared" si="0" ref="E8:E36">IF(C8&gt;1.75,"9",IF(C8&gt;1.25,"8",IF(C8&gt;0.75,"7",IF(C8&gt;0.25,"6",IF(C8&gt;-0.25,"5",IF(C8&gt;-0.75,"4",IF(C8&gt;-0.125,"3",IF(C8&gt;-1.75,"2","1"))))))))</f>
        <v>9</v>
      </c>
      <c r="G8" s="6"/>
      <c r="H8" s="6"/>
      <c r="I8" s="117"/>
      <c r="J8" s="27"/>
      <c r="K8" s="27"/>
      <c r="L8" s="6"/>
      <c r="M8" s="6"/>
      <c r="N8" s="17"/>
      <c r="O8" s="6"/>
      <c r="P8" s="6"/>
      <c r="Q8" s="6"/>
      <c r="R8" s="6"/>
    </row>
    <row r="9" spans="1:18" ht="12.75">
      <c r="A9" s="6">
        <v>3</v>
      </c>
      <c r="B9" s="8"/>
      <c r="C9" s="40">
        <v>6</v>
      </c>
      <c r="D9" s="135">
        <f>(C9-G7)/H7</f>
        <v>0.456532840767898</v>
      </c>
      <c r="E9" s="138" t="str">
        <f t="shared" si="0"/>
        <v>9</v>
      </c>
      <c r="G9" s="6"/>
      <c r="H9" s="6"/>
      <c r="I9" s="6"/>
      <c r="J9" s="27"/>
      <c r="K9" s="27"/>
      <c r="L9" s="6"/>
      <c r="M9" s="6"/>
      <c r="N9" s="17"/>
      <c r="O9" s="6"/>
      <c r="P9" s="6"/>
      <c r="Q9" s="6"/>
      <c r="R9" s="6"/>
    </row>
    <row r="10" spans="1:18" ht="12.75">
      <c r="A10" s="6">
        <v>4</v>
      </c>
      <c r="B10" s="8"/>
      <c r="C10" s="40">
        <v>5</v>
      </c>
      <c r="D10" s="135">
        <f>(C10-G7)/H7</f>
        <v>0.40897733652124196</v>
      </c>
      <c r="E10" s="138" t="str">
        <f t="shared" si="0"/>
        <v>9</v>
      </c>
      <c r="G10" s="6"/>
      <c r="H10" s="6"/>
      <c r="I10" s="6"/>
      <c r="J10" s="132" t="s">
        <v>7</v>
      </c>
      <c r="K10" s="132" t="s">
        <v>12</v>
      </c>
      <c r="L10" s="18"/>
      <c r="M10" s="18"/>
      <c r="N10" s="18"/>
      <c r="O10" s="18"/>
      <c r="P10" s="18"/>
      <c r="Q10" s="18"/>
      <c r="R10" s="18"/>
    </row>
    <row r="11" spans="1:18" ht="12.75">
      <c r="A11" s="6">
        <v>5</v>
      </c>
      <c r="B11" s="8"/>
      <c r="C11" s="40">
        <f aca="true" t="shared" si="1" ref="C11:C36">C10-1</f>
        <v>4</v>
      </c>
      <c r="D11" s="135">
        <f>(C11-G7)/H7</f>
        <v>0.36142183227458596</v>
      </c>
      <c r="E11" s="138" t="str">
        <f t="shared" si="0"/>
        <v>9</v>
      </c>
      <c r="G11" s="6"/>
      <c r="H11" s="6"/>
      <c r="I11" s="6"/>
      <c r="J11" s="133" t="s">
        <v>8</v>
      </c>
      <c r="K11" s="133" t="s">
        <v>11</v>
      </c>
      <c r="L11" s="11"/>
      <c r="M11" s="11"/>
      <c r="N11" s="11"/>
      <c r="O11" s="11"/>
      <c r="P11" s="11"/>
      <c r="Q11" s="11"/>
      <c r="R11" s="11"/>
    </row>
    <row r="12" spans="1:18" ht="12.75">
      <c r="A12" s="6">
        <v>6</v>
      </c>
      <c r="B12" s="8"/>
      <c r="C12" s="40">
        <f t="shared" si="1"/>
        <v>3</v>
      </c>
      <c r="D12" s="135">
        <f>(C12-G7)/H7</f>
        <v>0.3138663280279299</v>
      </c>
      <c r="E12" s="138" t="str">
        <f t="shared" si="0"/>
        <v>9</v>
      </c>
      <c r="G12" s="6"/>
      <c r="H12" s="6"/>
      <c r="I12" s="6"/>
      <c r="J12" s="134" t="s">
        <v>9</v>
      </c>
      <c r="K12" s="134" t="s">
        <v>31</v>
      </c>
      <c r="L12" s="7"/>
      <c r="M12" s="7"/>
      <c r="N12" s="7"/>
      <c r="O12" s="7"/>
      <c r="P12" s="7"/>
      <c r="Q12" s="7"/>
      <c r="R12" s="7"/>
    </row>
    <row r="13" spans="1:18" ht="12.75">
      <c r="A13" s="6">
        <v>7</v>
      </c>
      <c r="B13" s="8"/>
      <c r="C13" s="40">
        <f t="shared" si="1"/>
        <v>2</v>
      </c>
      <c r="D13" s="135">
        <f>(C13-G7)/H7</f>
        <v>0.26631082378127385</v>
      </c>
      <c r="E13" s="138" t="str">
        <f t="shared" si="0"/>
        <v>9</v>
      </c>
      <c r="G13" s="6"/>
      <c r="H13" s="6"/>
      <c r="I13" s="6"/>
      <c r="J13" s="139" t="s">
        <v>10</v>
      </c>
      <c r="K13" s="139" t="s">
        <v>32</v>
      </c>
      <c r="L13" s="20"/>
      <c r="M13" s="20"/>
      <c r="N13" s="20"/>
      <c r="O13" s="20"/>
      <c r="P13" s="20"/>
      <c r="Q13" s="20"/>
      <c r="R13" s="20"/>
    </row>
    <row r="14" spans="1:18" ht="12">
      <c r="A14" s="6">
        <v>8</v>
      </c>
      <c r="B14" s="8"/>
      <c r="C14" s="40">
        <f t="shared" si="1"/>
        <v>1</v>
      </c>
      <c r="D14" s="135">
        <f>(C14-G7)/H7</f>
        <v>0.2187553195346178</v>
      </c>
      <c r="E14" s="138" t="str">
        <f t="shared" si="0"/>
        <v>7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2">
      <c r="A15" s="6">
        <v>9</v>
      </c>
      <c r="B15" s="8"/>
      <c r="C15" s="40">
        <f t="shared" si="1"/>
        <v>0</v>
      </c>
      <c r="D15" s="135">
        <f>(C15-G7)/H7</f>
        <v>0.17119981528796177</v>
      </c>
      <c r="E15" s="138" t="str">
        <f t="shared" si="0"/>
        <v>5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">
      <c r="A16" s="6">
        <v>10</v>
      </c>
      <c r="B16" s="8"/>
      <c r="C16" s="40">
        <f t="shared" si="1"/>
        <v>-1</v>
      </c>
      <c r="D16" s="135">
        <f>(C16-G7)/H7</f>
        <v>0.12364431104130573</v>
      </c>
      <c r="E16" s="138" t="str">
        <f t="shared" si="0"/>
        <v>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">
      <c r="A17" s="6">
        <v>11</v>
      </c>
      <c r="B17" s="8"/>
      <c r="C17" s="40">
        <f t="shared" si="1"/>
        <v>-2</v>
      </c>
      <c r="D17" s="135">
        <f>(C17-G7)/H7</f>
        <v>0.07608880679464967</v>
      </c>
      <c r="E17" s="138" t="str">
        <f t="shared" si="0"/>
        <v>1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">
      <c r="A18" s="6">
        <v>12</v>
      </c>
      <c r="B18" s="8"/>
      <c r="C18" s="40">
        <f t="shared" si="1"/>
        <v>-3</v>
      </c>
      <c r="D18" s="135">
        <f>(C18-G7)/H7</f>
        <v>0.028533302547993633</v>
      </c>
      <c r="E18" s="138" t="str">
        <f t="shared" si="0"/>
        <v>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2">
      <c r="A19" s="6">
        <v>13</v>
      </c>
      <c r="B19" s="8"/>
      <c r="C19" s="40">
        <f t="shared" si="1"/>
        <v>-4</v>
      </c>
      <c r="D19" s="135">
        <f>(C19-G7)/H7</f>
        <v>-0.019022201698662415</v>
      </c>
      <c r="E19" s="138" t="str">
        <f t="shared" si="0"/>
        <v>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2">
      <c r="A20" s="6">
        <v>14</v>
      </c>
      <c r="B20" s="8"/>
      <c r="C20" s="40">
        <f t="shared" si="1"/>
        <v>-5</v>
      </c>
      <c r="D20" s="135">
        <f>(C20-G7)/H7</f>
        <v>-0.06657770594531846</v>
      </c>
      <c r="E20" s="138" t="str">
        <f t="shared" si="0"/>
        <v>1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2">
      <c r="A21" s="6">
        <v>15</v>
      </c>
      <c r="B21" s="8"/>
      <c r="C21" s="40">
        <f t="shared" si="1"/>
        <v>-6</v>
      </c>
      <c r="D21" s="135">
        <f>(C21-G7)/H7</f>
        <v>-0.1141332101919745</v>
      </c>
      <c r="E21" s="138" t="str">
        <f t="shared" si="0"/>
        <v>1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2">
      <c r="A22" s="6">
        <v>16</v>
      </c>
      <c r="B22" s="8"/>
      <c r="C22" s="40">
        <f t="shared" si="1"/>
        <v>-7</v>
      </c>
      <c r="D22" s="135">
        <f>(C22-G7)/H7</f>
        <v>-0.16168871443863056</v>
      </c>
      <c r="E22" s="138" t="str">
        <f t="shared" si="0"/>
        <v>1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3.5" customHeight="1">
      <c r="A23" s="6">
        <v>17</v>
      </c>
      <c r="B23" s="8"/>
      <c r="C23" s="40">
        <f t="shared" si="1"/>
        <v>-8</v>
      </c>
      <c r="D23" s="135">
        <f>(C23-G7)/H7</f>
        <v>-0.20924421868528661</v>
      </c>
      <c r="E23" s="138" t="str">
        <f t="shared" si="0"/>
        <v>1</v>
      </c>
      <c r="G23" s="6"/>
      <c r="H23" s="6"/>
      <c r="I23" s="6"/>
      <c r="J23" s="6"/>
      <c r="K23" s="128"/>
      <c r="L23" s="128"/>
      <c r="M23" s="118"/>
      <c r="N23" s="128"/>
      <c r="O23" s="128"/>
      <c r="P23" s="6"/>
      <c r="Q23" s="6"/>
      <c r="R23" s="6"/>
    </row>
    <row r="24" spans="1:18" ht="13.5" customHeight="1">
      <c r="A24" s="6">
        <v>18</v>
      </c>
      <c r="B24" s="8"/>
      <c r="C24" s="40">
        <f t="shared" si="1"/>
        <v>-9</v>
      </c>
      <c r="D24" s="135">
        <f>(C24-G7)/H7</f>
        <v>-0.2567997229319427</v>
      </c>
      <c r="E24" s="138" t="str">
        <f t="shared" si="0"/>
        <v>1</v>
      </c>
      <c r="G24" s="6"/>
      <c r="H24" s="6"/>
      <c r="I24" s="6"/>
      <c r="J24" s="6"/>
      <c r="K24" s="128"/>
      <c r="L24" s="128"/>
      <c r="M24" s="119"/>
      <c r="N24" s="128"/>
      <c r="O24" s="128"/>
      <c r="P24" s="6"/>
      <c r="Q24" s="6"/>
      <c r="R24" s="6"/>
    </row>
    <row r="25" spans="1:18" ht="12">
      <c r="A25" s="6">
        <v>19</v>
      </c>
      <c r="B25" s="8"/>
      <c r="C25" s="40">
        <f t="shared" si="1"/>
        <v>-10</v>
      </c>
      <c r="D25" s="135">
        <f>(C25-G7)/H7</f>
        <v>-0.3043552271785987</v>
      </c>
      <c r="E25" s="138" t="str">
        <f t="shared" si="0"/>
        <v>1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2">
      <c r="A26" s="6">
        <v>20</v>
      </c>
      <c r="B26" s="8"/>
      <c r="C26" s="40">
        <f t="shared" si="1"/>
        <v>-11</v>
      </c>
      <c r="D26" s="135">
        <f>(C26-G7)/H7</f>
        <v>-0.35191073142525475</v>
      </c>
      <c r="E26" s="138" t="str">
        <f t="shared" si="0"/>
        <v>1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2">
      <c r="A27" s="6">
        <v>21</v>
      </c>
      <c r="B27" s="8"/>
      <c r="C27" s="40">
        <f t="shared" si="1"/>
        <v>-12</v>
      </c>
      <c r="D27" s="135">
        <f>(C27-G7)/H7</f>
        <v>-0.3994662356719108</v>
      </c>
      <c r="E27" s="138" t="str">
        <f t="shared" si="0"/>
        <v>1</v>
      </c>
      <c r="G27" s="6"/>
      <c r="H27" s="6"/>
      <c r="I27" s="6"/>
      <c r="J27" s="6"/>
      <c r="K27" s="6"/>
      <c r="L27" s="6"/>
      <c r="M27" s="6"/>
      <c r="N27" s="6"/>
      <c r="O27" s="117"/>
      <c r="P27" s="6"/>
      <c r="Q27" s="6"/>
      <c r="R27" s="6"/>
    </row>
    <row r="28" spans="1:18" ht="12">
      <c r="A28" s="6">
        <v>22</v>
      </c>
      <c r="B28" s="8"/>
      <c r="C28" s="40">
        <f t="shared" si="1"/>
        <v>-13</v>
      </c>
      <c r="D28" s="135">
        <f>(C28-G7)/H7</f>
        <v>-0.44702173991856686</v>
      </c>
      <c r="E28" s="138" t="str">
        <f t="shared" si="0"/>
        <v>1</v>
      </c>
      <c r="G28" s="6"/>
      <c r="H28" s="6"/>
      <c r="I28" s="6"/>
      <c r="J28" s="6"/>
      <c r="K28" s="6"/>
      <c r="L28" s="6"/>
      <c r="M28" s="6"/>
      <c r="N28" s="6"/>
      <c r="O28" s="117"/>
      <c r="P28" s="6"/>
      <c r="Q28" s="6"/>
      <c r="R28" s="6"/>
    </row>
    <row r="29" spans="1:18" ht="12">
      <c r="A29" s="6">
        <v>23</v>
      </c>
      <c r="B29" s="8"/>
      <c r="C29" s="40">
        <f t="shared" si="1"/>
        <v>-14</v>
      </c>
      <c r="D29" s="135">
        <f>(C29-G7)/H7</f>
        <v>-0.4945772441652229</v>
      </c>
      <c r="E29" s="138" t="str">
        <f t="shared" si="0"/>
        <v>1</v>
      </c>
      <c r="G29" s="6"/>
      <c r="H29" s="6"/>
      <c r="I29" s="6"/>
      <c r="J29" s="6"/>
      <c r="K29" s="6"/>
      <c r="L29" s="6"/>
      <c r="M29" s="6"/>
      <c r="N29" s="6"/>
      <c r="O29" s="117"/>
      <c r="P29" s="6"/>
      <c r="Q29" s="6"/>
      <c r="R29" s="6"/>
    </row>
    <row r="30" spans="1:18" ht="12">
      <c r="A30" s="6">
        <v>24</v>
      </c>
      <c r="B30" s="8"/>
      <c r="C30" s="40">
        <f t="shared" si="1"/>
        <v>-15</v>
      </c>
      <c r="D30" s="135">
        <f>(C30-G7)/H7</f>
        <v>-0.542132748411879</v>
      </c>
      <c r="E30" s="138" t="str">
        <f t="shared" si="0"/>
        <v>1</v>
      </c>
      <c r="G30" s="6"/>
      <c r="H30" s="6"/>
      <c r="I30" s="6"/>
      <c r="J30" s="6"/>
      <c r="K30" s="6"/>
      <c r="L30" s="6"/>
      <c r="M30" s="6"/>
      <c r="N30" s="6"/>
      <c r="O30" s="117"/>
      <c r="P30" s="6"/>
      <c r="Q30" s="6"/>
      <c r="R30" s="6"/>
    </row>
    <row r="31" spans="1:18" ht="12">
      <c r="A31" s="6">
        <v>25</v>
      </c>
      <c r="B31" s="8"/>
      <c r="C31" s="40">
        <f t="shared" si="1"/>
        <v>-16</v>
      </c>
      <c r="D31" s="135">
        <f>(C31-G7)/H7</f>
        <v>-0.589688252658535</v>
      </c>
      <c r="E31" s="138" t="str">
        <f t="shared" si="0"/>
        <v>1</v>
      </c>
      <c r="G31" s="6"/>
      <c r="H31" s="6"/>
      <c r="I31" s="6"/>
      <c r="J31" s="6"/>
      <c r="K31" s="6"/>
      <c r="L31" s="6"/>
      <c r="M31" s="6"/>
      <c r="N31" s="6"/>
      <c r="O31" s="117"/>
      <c r="P31" s="6"/>
      <c r="Q31" s="6"/>
      <c r="R31" s="6"/>
    </row>
    <row r="32" spans="1:18" ht="12">
      <c r="A32" s="6">
        <v>26</v>
      </c>
      <c r="B32" s="8"/>
      <c r="C32" s="40">
        <f t="shared" si="1"/>
        <v>-17</v>
      </c>
      <c r="D32" s="135">
        <f>(C32-G7)/H7</f>
        <v>-0.6372437569051911</v>
      </c>
      <c r="E32" s="138" t="str">
        <f t="shared" si="0"/>
        <v>1</v>
      </c>
      <c r="G32" s="6"/>
      <c r="H32" s="6"/>
      <c r="I32" s="6"/>
      <c r="J32" s="6"/>
      <c r="K32" s="6"/>
      <c r="L32" s="6"/>
      <c r="M32" s="6"/>
      <c r="N32" s="6"/>
      <c r="O32" s="117"/>
      <c r="P32" s="6"/>
      <c r="Q32" s="6"/>
      <c r="R32" s="6"/>
    </row>
    <row r="33" spans="1:18" ht="12">
      <c r="A33" s="6">
        <v>27</v>
      </c>
      <c r="B33" s="8"/>
      <c r="C33" s="40">
        <f t="shared" si="1"/>
        <v>-18</v>
      </c>
      <c r="D33" s="135">
        <f>(C33-G7)/H7</f>
        <v>-0.6847992611518471</v>
      </c>
      <c r="E33" s="138" t="str">
        <f t="shared" si="0"/>
        <v>1</v>
      </c>
      <c r="G33" s="6"/>
      <c r="H33" s="6"/>
      <c r="I33" s="6"/>
      <c r="J33" s="6"/>
      <c r="K33" s="6"/>
      <c r="L33" s="6"/>
      <c r="M33" s="6"/>
      <c r="N33" s="6"/>
      <c r="O33" s="117"/>
      <c r="P33" s="6"/>
      <c r="Q33" s="6"/>
      <c r="R33" s="6"/>
    </row>
    <row r="34" spans="1:18" ht="12">
      <c r="A34" s="6">
        <v>28</v>
      </c>
      <c r="B34" s="8"/>
      <c r="C34" s="40">
        <f t="shared" si="1"/>
        <v>-19</v>
      </c>
      <c r="D34" s="135">
        <f>(C34-G7)/H7</f>
        <v>-0.7323547653985032</v>
      </c>
      <c r="E34" s="138" t="str">
        <f t="shared" si="0"/>
        <v>1</v>
      </c>
      <c r="G34" s="6"/>
      <c r="H34" s="6"/>
      <c r="I34" s="6"/>
      <c r="J34" s="6"/>
      <c r="K34" s="6"/>
      <c r="L34" s="6"/>
      <c r="M34" s="6"/>
      <c r="N34" s="6"/>
      <c r="O34" s="117"/>
      <c r="P34" s="6"/>
      <c r="Q34" s="6"/>
      <c r="R34" s="6"/>
    </row>
    <row r="35" spans="1:18" ht="12">
      <c r="A35" s="6">
        <v>29</v>
      </c>
      <c r="B35" s="8"/>
      <c r="C35" s="40">
        <f t="shared" si="1"/>
        <v>-20</v>
      </c>
      <c r="D35" s="135">
        <f>(C35-G7)/H7</f>
        <v>-0.7799102696451591</v>
      </c>
      <c r="E35" s="138" t="str">
        <f t="shared" si="0"/>
        <v>1</v>
      </c>
      <c r="G35" s="6"/>
      <c r="H35" s="6"/>
      <c r="I35" s="6"/>
      <c r="J35" s="6"/>
      <c r="K35" s="6"/>
      <c r="L35" s="6"/>
      <c r="M35" s="6"/>
      <c r="N35" s="6"/>
      <c r="O35" s="117"/>
      <c r="P35" s="6"/>
      <c r="Q35" s="6"/>
      <c r="R35" s="6"/>
    </row>
    <row r="36" spans="1:18" ht="12">
      <c r="A36" s="6">
        <v>30</v>
      </c>
      <c r="B36" s="8"/>
      <c r="C36" s="40">
        <f t="shared" si="1"/>
        <v>-21</v>
      </c>
      <c r="D36" s="135">
        <f>(C36-G7)/H7</f>
        <v>-0.8274657738918152</v>
      </c>
      <c r="E36" s="138" t="str">
        <f t="shared" si="0"/>
        <v>1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2.75">
      <c r="A37" s="6"/>
      <c r="B37" s="6"/>
      <c r="C37" s="106"/>
      <c r="D37" s="6"/>
      <c r="E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2.75">
      <c r="A38" s="6"/>
      <c r="B38" s="6"/>
      <c r="C38" s="106"/>
      <c r="D38" s="6"/>
      <c r="E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2.75">
      <c r="A39" s="6"/>
      <c r="B39" s="6"/>
      <c r="C39" s="106"/>
      <c r="D39" s="6"/>
      <c r="E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2.75">
      <c r="A40" s="6"/>
      <c r="B40" s="6"/>
      <c r="C40" s="106"/>
      <c r="D40" s="6"/>
      <c r="E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2.75">
      <c r="A41" s="6"/>
      <c r="B41" s="6"/>
      <c r="C41" s="106"/>
      <c r="D41" s="6"/>
      <c r="E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2.75">
      <c r="A42" s="6"/>
      <c r="B42" s="6"/>
      <c r="C42" s="106"/>
      <c r="D42" s="6"/>
      <c r="E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2.75">
      <c r="A43" s="6"/>
      <c r="B43" s="6"/>
      <c r="C43" s="106"/>
      <c r="D43" s="6"/>
      <c r="E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2.75">
      <c r="A44" s="6"/>
      <c r="B44" s="6"/>
      <c r="C44" s="106"/>
      <c r="D44" s="6"/>
      <c r="E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2.75">
      <c r="A45" s="6"/>
      <c r="B45" s="6"/>
      <c r="C45" s="106"/>
      <c r="D45" s="6"/>
      <c r="E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12.75">
      <c r="A46" s="6"/>
      <c r="B46" s="6"/>
      <c r="C46" s="106"/>
      <c r="D46" s="6"/>
      <c r="E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12.75">
      <c r="A47" s="6"/>
      <c r="B47" s="6"/>
      <c r="C47" s="106"/>
      <c r="D47" s="6"/>
      <c r="E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2.75">
      <c r="A48" s="6"/>
      <c r="B48" s="6"/>
      <c r="C48" s="106"/>
      <c r="D48" s="6"/>
      <c r="E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="6" customFormat="1" ht="12.75">
      <c r="C49" s="106"/>
    </row>
    <row r="50" s="6" customFormat="1" ht="12.75">
      <c r="C50" s="106"/>
    </row>
    <row r="53" spans="10:18" ht="12.75">
      <c r="J53" s="39"/>
      <c r="K53" s="39"/>
      <c r="L53" s="39"/>
      <c r="M53" s="39"/>
      <c r="N53" s="39"/>
      <c r="O53" s="39"/>
      <c r="P53" s="39"/>
      <c r="Q53" s="39"/>
      <c r="R53" s="39"/>
    </row>
    <row r="54" spans="7:18" ht="12.75">
      <c r="G54" s="39" t="s">
        <v>18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7:18" ht="12.75">
      <c r="G55" s="39" t="s">
        <v>19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7:18" ht="12.75">
      <c r="G56" s="39" t="s">
        <v>20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7:18" ht="12.75">
      <c r="G57" s="39"/>
      <c r="H57" s="39" t="s">
        <v>21</v>
      </c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spans="7:18" ht="12.75">
      <c r="G58" s="39"/>
      <c r="H58" s="39" t="s">
        <v>22</v>
      </c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7:18" ht="12.75">
      <c r="G59" s="39"/>
      <c r="H59" s="39" t="s">
        <v>23</v>
      </c>
      <c r="I59" s="39"/>
      <c r="J59" s="39"/>
      <c r="K59" s="39"/>
      <c r="L59" s="39"/>
      <c r="M59" s="39"/>
      <c r="N59" s="39"/>
      <c r="O59" s="39"/>
      <c r="P59" s="39"/>
      <c r="Q59" s="39"/>
      <c r="R59" s="39"/>
    </row>
    <row r="60" spans="7:18" ht="12.75"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</row>
    <row r="61" spans="7:9" ht="12.75">
      <c r="G61" s="39"/>
      <c r="H61" s="39"/>
      <c r="I61" s="3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42"/>
  <sheetViews>
    <sheetView zoomScalePageLayoutView="0" workbookViewId="0" topLeftCell="A1">
      <selection activeCell="Q11" sqref="Q11"/>
    </sheetView>
  </sheetViews>
  <sheetFormatPr defaultColWidth="9.140625" defaultRowHeight="12.75"/>
  <cols>
    <col min="1" max="1" width="5.7109375" style="106" customWidth="1"/>
    <col min="2" max="2" width="2.7109375" style="42" customWidth="1"/>
    <col min="3" max="3" width="9.140625" style="42" customWidth="1"/>
    <col min="4" max="4" width="14.57421875" style="42" customWidth="1"/>
    <col min="5" max="8" width="9.140625" style="42" customWidth="1"/>
    <col min="9" max="18" width="9.140625" style="106" customWidth="1"/>
    <col min="19" max="16384" width="9.140625" style="42" customWidth="1"/>
  </cols>
  <sheetData>
    <row r="1" spans="2:8" ht="6" customHeight="1" thickBot="1">
      <c r="B1" s="106"/>
      <c r="C1" s="106"/>
      <c r="D1" s="106"/>
      <c r="E1" s="106"/>
      <c r="F1" s="106"/>
      <c r="G1" s="106"/>
      <c r="H1" s="106"/>
    </row>
    <row r="2" spans="2:8" ht="13.5" thickBot="1">
      <c r="B2" s="150"/>
      <c r="C2" s="151" t="s">
        <v>119</v>
      </c>
      <c r="D2" s="151"/>
      <c r="E2" s="151"/>
      <c r="F2" s="151"/>
      <c r="G2" s="152"/>
      <c r="H2" s="106"/>
    </row>
    <row r="3" spans="2:8" ht="8.25" customHeight="1" thickBot="1">
      <c r="B3" s="106"/>
      <c r="C3" s="106"/>
      <c r="D3" s="106"/>
      <c r="E3" s="106"/>
      <c r="F3" s="106"/>
      <c r="G3" s="106"/>
      <c r="H3" s="106"/>
    </row>
    <row r="4" spans="2:8" ht="27.75">
      <c r="B4" s="94"/>
      <c r="C4" s="103" t="s">
        <v>72</v>
      </c>
      <c r="D4" s="95"/>
      <c r="E4" s="95"/>
      <c r="F4" s="95"/>
      <c r="G4" s="95"/>
      <c r="H4" s="96"/>
    </row>
    <row r="5" spans="2:8" ht="12.75">
      <c r="B5" s="104"/>
      <c r="C5" s="43"/>
      <c r="D5" s="43"/>
      <c r="E5" s="43"/>
      <c r="F5" s="43"/>
      <c r="G5" s="43"/>
      <c r="H5" s="105"/>
    </row>
    <row r="6" spans="2:8" ht="12.75">
      <c r="B6" s="104"/>
      <c r="C6" s="43"/>
      <c r="D6" s="43"/>
      <c r="E6" s="43"/>
      <c r="F6" s="43"/>
      <c r="G6" s="43"/>
      <c r="H6" s="105"/>
    </row>
    <row r="7" spans="2:8" ht="12.75">
      <c r="B7" s="104"/>
      <c r="C7" s="43"/>
      <c r="D7" s="43"/>
      <c r="E7" s="43"/>
      <c r="F7" s="43"/>
      <c r="G7" s="43"/>
      <c r="H7" s="105"/>
    </row>
    <row r="8" spans="2:8" ht="12.75">
      <c r="B8" s="104"/>
      <c r="C8" s="43"/>
      <c r="D8" s="43"/>
      <c r="E8" s="43"/>
      <c r="F8" s="43"/>
      <c r="G8" s="43"/>
      <c r="H8" s="105"/>
    </row>
    <row r="9" spans="2:8" ht="12.75">
      <c r="B9" s="104"/>
      <c r="C9" s="43"/>
      <c r="D9" s="43"/>
      <c r="E9" s="43"/>
      <c r="F9" s="43"/>
      <c r="G9" s="43"/>
      <c r="H9" s="105"/>
    </row>
    <row r="10" spans="2:8" ht="12.75">
      <c r="B10" s="104"/>
      <c r="C10" s="43"/>
      <c r="D10" s="43"/>
      <c r="E10" s="43"/>
      <c r="F10" s="43"/>
      <c r="G10" s="43"/>
      <c r="H10" s="105"/>
    </row>
    <row r="11" spans="2:8" ht="12.75">
      <c r="B11" s="104"/>
      <c r="C11" s="43"/>
      <c r="D11" s="43"/>
      <c r="E11" s="43"/>
      <c r="F11" s="43"/>
      <c r="G11" s="43"/>
      <c r="H11" s="105"/>
    </row>
    <row r="12" spans="2:8" ht="12.75">
      <c r="B12" s="104"/>
      <c r="C12" s="43"/>
      <c r="D12" s="43"/>
      <c r="E12" s="43"/>
      <c r="F12" s="43"/>
      <c r="G12" s="43"/>
      <c r="H12" s="105"/>
    </row>
    <row r="13" spans="2:8" ht="12.75">
      <c r="B13" s="104"/>
      <c r="C13" s="43"/>
      <c r="D13" s="43"/>
      <c r="E13" s="43"/>
      <c r="F13" s="43"/>
      <c r="G13" s="43"/>
      <c r="H13" s="105"/>
    </row>
    <row r="14" spans="2:8" ht="12.75">
      <c r="B14" s="104"/>
      <c r="C14" s="43"/>
      <c r="D14" s="43"/>
      <c r="E14" s="43"/>
      <c r="F14" s="43"/>
      <c r="G14" s="43"/>
      <c r="H14" s="105"/>
    </row>
    <row r="15" spans="2:8" ht="12.75">
      <c r="B15" s="104"/>
      <c r="C15" s="43" t="s">
        <v>118</v>
      </c>
      <c r="D15" s="43"/>
      <c r="E15" s="43"/>
      <c r="F15" s="43"/>
      <c r="G15" s="43"/>
      <c r="H15" s="105"/>
    </row>
    <row r="16" spans="2:8" ht="13.5" thickBot="1">
      <c r="B16" s="97"/>
      <c r="C16" s="98"/>
      <c r="D16" s="98"/>
      <c r="E16" s="98"/>
      <c r="F16" s="98"/>
      <c r="G16" s="98"/>
      <c r="H16" s="99"/>
    </row>
    <row r="17" spans="2:8" ht="13.5" thickBot="1">
      <c r="B17" s="125"/>
      <c r="C17" s="125"/>
      <c r="D17" s="125"/>
      <c r="E17" s="125"/>
      <c r="F17" s="125"/>
      <c r="G17" s="125"/>
      <c r="H17" s="125"/>
    </row>
    <row r="18" spans="2:8" ht="12.75">
      <c r="B18" s="141"/>
      <c r="C18" s="146" t="s">
        <v>65</v>
      </c>
      <c r="D18" s="142"/>
      <c r="E18" s="142"/>
      <c r="F18" s="142"/>
      <c r="G18" s="143"/>
      <c r="H18" s="106"/>
    </row>
    <row r="19" spans="2:8" ht="12.75">
      <c r="B19" s="144"/>
      <c r="C19" s="35" t="s">
        <v>66</v>
      </c>
      <c r="D19" s="125"/>
      <c r="E19" s="125"/>
      <c r="F19" s="125"/>
      <c r="G19" s="145"/>
      <c r="H19" s="106"/>
    </row>
    <row r="20" spans="2:8" ht="12.75">
      <c r="B20" s="144"/>
      <c r="C20" s="125"/>
      <c r="D20" s="125"/>
      <c r="E20" s="125"/>
      <c r="F20" s="125"/>
      <c r="G20" s="145"/>
      <c r="H20" s="106"/>
    </row>
    <row r="21" spans="2:8" ht="12.75">
      <c r="B21" s="144"/>
      <c r="C21" s="125"/>
      <c r="D21" s="100" t="s">
        <v>67</v>
      </c>
      <c r="E21" s="101" t="s">
        <v>68</v>
      </c>
      <c r="F21" s="101" t="s">
        <v>69</v>
      </c>
      <c r="G21" s="145"/>
      <c r="H21" s="106"/>
    </row>
    <row r="22" spans="2:8" ht="12.75">
      <c r="B22" s="144"/>
      <c r="C22" s="125"/>
      <c r="D22" s="100">
        <v>2</v>
      </c>
      <c r="E22" s="101">
        <f>NORMSDIST(D22)-0.5</f>
        <v>0.4772498680518207</v>
      </c>
      <c r="F22" s="101">
        <f>E22*100</f>
        <v>47.72498680518207</v>
      </c>
      <c r="G22" s="145"/>
      <c r="H22" s="106"/>
    </row>
    <row r="23" spans="2:8" ht="12.75">
      <c r="B23" s="144"/>
      <c r="C23" s="125"/>
      <c r="D23" s="125"/>
      <c r="E23" s="125"/>
      <c r="F23" s="125"/>
      <c r="G23" s="145"/>
      <c r="H23" s="106"/>
    </row>
    <row r="24" spans="2:8" ht="13.5" thickBot="1">
      <c r="B24" s="147"/>
      <c r="C24" s="148"/>
      <c r="D24" s="148" t="s">
        <v>73</v>
      </c>
      <c r="E24" s="148"/>
      <c r="F24" s="148"/>
      <c r="G24" s="149"/>
      <c r="H24" s="106"/>
    </row>
    <row r="25" spans="2:8" ht="13.5" thickBot="1">
      <c r="B25" s="106"/>
      <c r="C25" s="106"/>
      <c r="D25" s="106"/>
      <c r="E25" s="106"/>
      <c r="F25" s="106"/>
      <c r="G25" s="106"/>
      <c r="H25" s="106"/>
    </row>
    <row r="26" spans="2:8" ht="12.75">
      <c r="B26" s="141"/>
      <c r="C26" s="142"/>
      <c r="D26" s="142"/>
      <c r="E26" s="142"/>
      <c r="F26" s="142"/>
      <c r="G26" s="143"/>
      <c r="H26" s="106"/>
    </row>
    <row r="27" spans="2:8" ht="12.75">
      <c r="B27" s="144"/>
      <c r="C27" s="125"/>
      <c r="D27" s="125"/>
      <c r="E27" s="125"/>
      <c r="F27" s="125"/>
      <c r="G27" s="145"/>
      <c r="H27" s="106"/>
    </row>
    <row r="28" spans="2:8" ht="12.75">
      <c r="B28" s="144"/>
      <c r="C28" s="125"/>
      <c r="D28" s="125"/>
      <c r="E28" s="125"/>
      <c r="F28" s="125"/>
      <c r="G28" s="145"/>
      <c r="H28" s="106"/>
    </row>
    <row r="29" spans="2:17" ht="12.75">
      <c r="B29" s="144"/>
      <c r="C29" s="125"/>
      <c r="D29" s="125"/>
      <c r="E29" s="125"/>
      <c r="F29" s="125"/>
      <c r="G29" s="145"/>
      <c r="H29" s="106"/>
      <c r="Q29" s="27"/>
    </row>
    <row r="30" spans="2:8" ht="12.75">
      <c r="B30" s="144"/>
      <c r="C30" s="125"/>
      <c r="D30" s="125"/>
      <c r="E30" s="125"/>
      <c r="F30" s="125"/>
      <c r="G30" s="145"/>
      <c r="H30" s="106"/>
    </row>
    <row r="31" spans="2:17" ht="12.75">
      <c r="B31" s="144"/>
      <c r="C31" s="125"/>
      <c r="D31" s="125"/>
      <c r="E31" s="125"/>
      <c r="F31" s="125"/>
      <c r="G31" s="145"/>
      <c r="H31" s="106"/>
      <c r="Q31" s="27"/>
    </row>
    <row r="32" spans="2:8" ht="12.75">
      <c r="B32" s="144"/>
      <c r="C32" s="551"/>
      <c r="D32" s="125"/>
      <c r="E32" s="125"/>
      <c r="F32" s="125"/>
      <c r="G32" s="145"/>
      <c r="H32" s="106"/>
    </row>
    <row r="33" spans="2:8" ht="12.75">
      <c r="B33" s="144"/>
      <c r="C33" s="551"/>
      <c r="D33" s="125"/>
      <c r="E33" s="35" t="s">
        <v>70</v>
      </c>
      <c r="F33" s="125"/>
      <c r="G33" s="145"/>
      <c r="H33" s="106"/>
    </row>
    <row r="34" spans="2:8" ht="12.75">
      <c r="B34" s="144"/>
      <c r="C34" s="125"/>
      <c r="D34" s="100" t="s">
        <v>71</v>
      </c>
      <c r="E34" s="101" t="s">
        <v>68</v>
      </c>
      <c r="F34" s="101" t="s">
        <v>69</v>
      </c>
      <c r="G34" s="145"/>
      <c r="H34" s="106"/>
    </row>
    <row r="35" spans="2:8" ht="13.5" thickBot="1">
      <c r="B35" s="144"/>
      <c r="C35" s="125"/>
      <c r="D35" s="107">
        <v>2</v>
      </c>
      <c r="E35" s="108">
        <f>NORMSDIST(D35)</f>
        <v>0.9772498680518207</v>
      </c>
      <c r="F35" s="108">
        <f>E35*100</f>
        <v>97.72498680518207</v>
      </c>
      <c r="G35" s="145"/>
      <c r="H35" s="106"/>
    </row>
    <row r="36" spans="2:8" ht="12.75">
      <c r="B36" s="144"/>
      <c r="C36" s="125"/>
      <c r="D36" s="125"/>
      <c r="E36" s="125"/>
      <c r="F36" s="125"/>
      <c r="G36" s="145"/>
      <c r="H36" s="106"/>
    </row>
    <row r="37" spans="2:8" ht="13.5" thickBot="1">
      <c r="B37" s="147"/>
      <c r="C37" s="148"/>
      <c r="D37" s="148" t="s">
        <v>74</v>
      </c>
      <c r="E37" s="148"/>
      <c r="F37" s="148"/>
      <c r="G37" s="149"/>
      <c r="H37" s="106"/>
    </row>
    <row r="38" spans="2:8" ht="12.75">
      <c r="B38" s="106"/>
      <c r="C38" s="106"/>
      <c r="D38" s="106"/>
      <c r="E38" s="106"/>
      <c r="F38" s="106"/>
      <c r="G38" s="106"/>
      <c r="H38" s="106"/>
    </row>
    <row r="39" spans="2:8" ht="12.75">
      <c r="B39" s="106"/>
      <c r="C39" s="106"/>
      <c r="D39" s="106"/>
      <c r="E39" s="106"/>
      <c r="F39" s="106"/>
      <c r="G39" s="106"/>
      <c r="H39" s="106"/>
    </row>
    <row r="40" spans="2:8" ht="12.75">
      <c r="B40" s="106"/>
      <c r="C40" s="106"/>
      <c r="D40" s="106"/>
      <c r="E40" s="106"/>
      <c r="F40" s="106"/>
      <c r="G40" s="106"/>
      <c r="H40" s="106"/>
    </row>
    <row r="41" spans="2:8" ht="12.75">
      <c r="B41" s="106"/>
      <c r="C41" s="106"/>
      <c r="D41" s="106"/>
      <c r="E41" s="106"/>
      <c r="F41" s="106"/>
      <c r="G41" s="106"/>
      <c r="H41" s="106"/>
    </row>
    <row r="42" spans="2:8" ht="12.75">
      <c r="B42" s="106"/>
      <c r="C42" s="106"/>
      <c r="D42" s="106"/>
      <c r="E42" s="106"/>
      <c r="F42" s="106"/>
      <c r="G42" s="106"/>
      <c r="H42" s="106"/>
    </row>
  </sheetData>
  <sheetProtection/>
  <mergeCells count="1">
    <mergeCell ref="C32:C33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1.421875" style="36" customWidth="1"/>
    <col min="2" max="4" width="9.140625" style="36" customWidth="1"/>
    <col min="5" max="5" width="14.8515625" style="36" customWidth="1"/>
    <col min="6" max="6" width="5.28125" style="36" customWidth="1"/>
    <col min="7" max="9" width="9.140625" style="36" customWidth="1"/>
    <col min="10" max="10" width="8.57421875" style="36" customWidth="1"/>
    <col min="11" max="11" width="9.140625" style="36" customWidth="1"/>
    <col min="12" max="12" width="3.57421875" style="36" customWidth="1"/>
    <col min="13" max="16" width="9.140625" style="36" customWidth="1"/>
    <col min="17" max="21" width="11.421875" style="36" customWidth="1"/>
    <col min="22" max="22" width="9.140625" style="4" customWidth="1"/>
    <col min="23" max="23" width="3.57421875" style="4" customWidth="1"/>
    <col min="24" max="24" width="14.140625" style="36" customWidth="1"/>
    <col min="25" max="25" width="8.28125" style="36" customWidth="1"/>
    <col min="26" max="26" width="6.421875" style="36" customWidth="1"/>
    <col min="27" max="27" width="7.00390625" style="36" customWidth="1"/>
    <col min="28" max="28" width="5.421875" style="109" customWidth="1"/>
    <col min="29" max="29" width="9.421875" style="36" customWidth="1"/>
    <col min="30" max="30" width="4.8515625" style="36" customWidth="1"/>
    <col min="31" max="31" width="9.140625" style="36" customWidth="1"/>
    <col min="32" max="32" width="8.8515625" style="36" customWidth="1"/>
    <col min="33" max="37" width="9.140625" style="36" customWidth="1"/>
    <col min="38" max="38" width="13.57421875" style="36" customWidth="1"/>
    <col min="39" max="16384" width="9.140625" style="36" customWidth="1"/>
  </cols>
  <sheetData>
    <row r="1" spans="1:31" ht="16.5" thickBot="1">
      <c r="A1" s="4"/>
      <c r="B1" s="4"/>
      <c r="C1" s="4"/>
      <c r="D1" s="4"/>
      <c r="E1" s="4"/>
      <c r="F1" s="4"/>
      <c r="G1" s="129" t="s">
        <v>120</v>
      </c>
      <c r="H1" s="130"/>
      <c r="I1" s="130"/>
      <c r="J1" s="130"/>
      <c r="K1" s="130"/>
      <c r="L1" s="130"/>
      <c r="M1" s="130"/>
      <c r="N1" s="130"/>
      <c r="O1" s="131"/>
      <c r="P1" s="4"/>
      <c r="Q1" s="4"/>
      <c r="R1" s="4"/>
      <c r="S1" s="4"/>
      <c r="T1" s="4"/>
      <c r="U1" s="4"/>
      <c r="X1" s="4"/>
      <c r="Y1" s="4"/>
      <c r="Z1" s="4"/>
      <c r="AA1" s="4"/>
      <c r="AB1" s="4"/>
      <c r="AC1" s="4"/>
      <c r="AD1" s="4"/>
      <c r="AE1" s="4"/>
    </row>
    <row r="2" spans="1:33" ht="15.75">
      <c r="A2" s="4"/>
      <c r="B2" s="160" t="s">
        <v>94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4"/>
      <c r="T2" s="4"/>
      <c r="U2" s="4"/>
      <c r="X2" s="4" t="s">
        <v>81</v>
      </c>
      <c r="Y2" s="4"/>
      <c r="Z2" s="4"/>
      <c r="AA2" s="4"/>
      <c r="AB2" s="4"/>
      <c r="AC2" s="4"/>
      <c r="AD2" s="4"/>
      <c r="AE2" s="4"/>
      <c r="AF2" s="4"/>
      <c r="AG2" s="4"/>
    </row>
    <row r="3" spans="1:3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X3" s="4" t="s">
        <v>82</v>
      </c>
      <c r="Y3" s="4"/>
      <c r="Z3" s="4"/>
      <c r="AA3" s="4"/>
      <c r="AB3" s="4"/>
      <c r="AC3" s="4"/>
      <c r="AD3" s="4"/>
      <c r="AE3" s="4"/>
    </row>
    <row r="4" spans="2:24" s="4" customFormat="1" ht="15.75">
      <c r="B4" s="4" t="s">
        <v>95</v>
      </c>
      <c r="X4" s="4" t="s">
        <v>83</v>
      </c>
    </row>
    <row r="5" s="4" customFormat="1" ht="15.75">
      <c r="X5" s="4" t="s">
        <v>84</v>
      </c>
    </row>
    <row r="6" s="4" customFormat="1" ht="15.75">
      <c r="X6" s="4" t="s">
        <v>85</v>
      </c>
    </row>
    <row r="7" s="4" customFormat="1" ht="15.75">
      <c r="X7" s="4" t="s">
        <v>82</v>
      </c>
    </row>
    <row r="8" spans="2:24" s="4" customFormat="1" ht="15.75">
      <c r="B8" s="4" t="s">
        <v>49</v>
      </c>
      <c r="X8" s="4" t="s">
        <v>86</v>
      </c>
    </row>
    <row r="9" spans="2:24" s="4" customFormat="1" ht="15.75">
      <c r="B9" s="4" t="s">
        <v>82</v>
      </c>
      <c r="X9" s="4" t="s">
        <v>87</v>
      </c>
    </row>
    <row r="10" spans="2:24" s="4" customFormat="1" ht="16.5" thickBot="1">
      <c r="B10" s="4" t="s">
        <v>107</v>
      </c>
      <c r="G10" s="4" t="s">
        <v>107</v>
      </c>
      <c r="M10" s="4" t="s">
        <v>107</v>
      </c>
      <c r="X10" s="4" t="s">
        <v>82</v>
      </c>
    </row>
    <row r="11" spans="2:24" ht="16.5" thickBot="1">
      <c r="B11" s="70" t="s">
        <v>105</v>
      </c>
      <c r="C11" s="66" t="s">
        <v>0</v>
      </c>
      <c r="D11" s="67" t="s">
        <v>1</v>
      </c>
      <c r="E11" s="154" t="s">
        <v>106</v>
      </c>
      <c r="F11" s="4"/>
      <c r="G11" s="70" t="s">
        <v>105</v>
      </c>
      <c r="H11" s="66" t="s">
        <v>0</v>
      </c>
      <c r="I11" s="67" t="s">
        <v>1</v>
      </c>
      <c r="J11" s="153" t="s">
        <v>109</v>
      </c>
      <c r="K11" s="4"/>
      <c r="L11" s="4"/>
      <c r="M11" s="70" t="s">
        <v>108</v>
      </c>
      <c r="N11" s="70" t="s">
        <v>105</v>
      </c>
      <c r="O11" s="66" t="s">
        <v>0</v>
      </c>
      <c r="P11" s="67" t="s">
        <v>1</v>
      </c>
      <c r="Q11" s="153" t="s">
        <v>110</v>
      </c>
      <c r="R11" s="29"/>
      <c r="S11" s="29"/>
      <c r="T11" s="157"/>
      <c r="U11" s="157"/>
      <c r="V11" s="29"/>
      <c r="X11" s="36" t="s">
        <v>88</v>
      </c>
    </row>
    <row r="12" spans="2:24" ht="16.5" thickBot="1">
      <c r="B12" s="161">
        <v>6</v>
      </c>
      <c r="C12" s="61">
        <v>3</v>
      </c>
      <c r="D12" s="62">
        <v>2</v>
      </c>
      <c r="E12" s="163" t="b">
        <f>cum!E4=NORMDIST(A1+0,0,1,TRUE)=NORMDIST(A1+0.01,0,1,TRUE)=NORMDIST(A1+0.02,0,1,TRUE)=NORMDIST(A1+0.03,0,1,TRUE)=NORMDIST(A1+0.04,0,1,TRUE)=NORMDIST(A1+0.05,0,1,TRUE)=NORMDIST(A1+0.06,0,1,TRUE)=NORMDIST(A1+0.07,0,1,TRUE)=NORMDIST(A1+0.08,0,1,TRUE)=NORMDIST(A1+0.09,0,1,TRUE)</f>
        <v>0</v>
      </c>
      <c r="F12" s="4"/>
      <c r="G12" s="161">
        <v>6</v>
      </c>
      <c r="H12" s="61">
        <v>3</v>
      </c>
      <c r="I12" s="62">
        <v>2</v>
      </c>
      <c r="J12" s="163">
        <f>NORMDIST(G12,H12,I12,FALSE)</f>
        <v>0.06475879783294586</v>
      </c>
      <c r="K12" s="4"/>
      <c r="L12" s="4"/>
      <c r="M12" s="161">
        <v>-1</v>
      </c>
      <c r="N12" s="161">
        <v>2</v>
      </c>
      <c r="O12" s="61">
        <v>3</v>
      </c>
      <c r="P12" s="62">
        <v>2</v>
      </c>
      <c r="Q12" s="113">
        <f>NORMDIST(N12,O12,P12,TRUE)-NORMDIST(M12,O12,P12,TRUE)</f>
        <v>0.28578740677780756</v>
      </c>
      <c r="R12" s="156"/>
      <c r="S12" s="156"/>
      <c r="T12" s="110"/>
      <c r="U12" s="110"/>
      <c r="V12" s="156"/>
      <c r="X12" s="36" t="s">
        <v>89</v>
      </c>
    </row>
    <row r="13" spans="2:24" s="4" customFormat="1" ht="15.75">
      <c r="B13" s="155" t="s">
        <v>96</v>
      </c>
      <c r="G13" s="155" t="s">
        <v>98</v>
      </c>
      <c r="M13" s="155" t="s">
        <v>101</v>
      </c>
      <c r="X13" s="4" t="s">
        <v>82</v>
      </c>
    </row>
    <row r="14" spans="2:24" s="4" customFormat="1" ht="15.75">
      <c r="B14" s="155" t="s">
        <v>97</v>
      </c>
      <c r="G14" s="155" t="s">
        <v>99</v>
      </c>
      <c r="M14" s="155" t="s">
        <v>102</v>
      </c>
      <c r="X14" s="4" t="s">
        <v>90</v>
      </c>
    </row>
    <row r="15" spans="7:24" s="4" customFormat="1" ht="15.75">
      <c r="G15" s="155" t="s">
        <v>100</v>
      </c>
      <c r="M15" s="155" t="s">
        <v>103</v>
      </c>
      <c r="X15" s="4" t="s">
        <v>91</v>
      </c>
    </row>
    <row r="16" s="4" customFormat="1" ht="15.75">
      <c r="X16" s="4" t="s">
        <v>82</v>
      </c>
    </row>
    <row r="17" spans="2:24" s="4" customFormat="1" ht="15.75">
      <c r="B17" s="160" t="s">
        <v>121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X17" s="4" t="s">
        <v>92</v>
      </c>
    </row>
    <row r="18" spans="2:24" s="4" customFormat="1" ht="3.75" customHeight="1">
      <c r="B18" s="552"/>
      <c r="X18" s="4" t="s">
        <v>93</v>
      </c>
    </row>
    <row r="19" spans="1:21" ht="15.75">
      <c r="A19" s="4"/>
      <c r="B19" s="55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4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X20" s="36" t="s">
        <v>94</v>
      </c>
    </row>
    <row r="21" spans="1:24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X21" s="36" t="s">
        <v>104</v>
      </c>
    </row>
    <row r="22" spans="1:24" ht="15.75">
      <c r="A22" s="4"/>
      <c r="B22" s="4" t="s">
        <v>49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X22" s="36" t="s">
        <v>95</v>
      </c>
    </row>
    <row r="23" spans="1:21" ht="15.75">
      <c r="A23" s="4"/>
      <c r="B23" s="4" t="s">
        <v>82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33" ht="15.75">
      <c r="A24" s="4"/>
      <c r="B24" s="4" t="s">
        <v>82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X24" s="36" t="s">
        <v>96</v>
      </c>
      <c r="AG24" s="553"/>
    </row>
    <row r="25" spans="1:33" ht="16.5" thickBot="1">
      <c r="A25" s="4"/>
      <c r="B25" s="4" t="s">
        <v>112</v>
      </c>
      <c r="C25" s="4"/>
      <c r="D25" s="4"/>
      <c r="E25" s="4"/>
      <c r="F25" s="4"/>
      <c r="G25" s="4" t="s">
        <v>112</v>
      </c>
      <c r="H25" s="4"/>
      <c r="I25" s="4"/>
      <c r="J25" s="4"/>
      <c r="K25" s="4"/>
      <c r="L25" s="4"/>
      <c r="M25" s="29"/>
      <c r="N25" s="29"/>
      <c r="O25" s="29"/>
      <c r="P25" s="29"/>
      <c r="Q25" s="29"/>
      <c r="R25" s="29"/>
      <c r="S25" s="29"/>
      <c r="T25" s="29"/>
      <c r="U25" s="29"/>
      <c r="X25" s="4" t="s">
        <v>97</v>
      </c>
      <c r="Y25" s="4"/>
      <c r="AG25" s="553"/>
    </row>
    <row r="26" spans="1:24" ht="16.5" thickBot="1">
      <c r="A26" s="4"/>
      <c r="B26" s="68" t="s">
        <v>70</v>
      </c>
      <c r="C26" s="158"/>
      <c r="D26" s="158"/>
      <c r="E26" s="154" t="s">
        <v>111</v>
      </c>
      <c r="F26" s="4"/>
      <c r="G26" s="68" t="s">
        <v>113</v>
      </c>
      <c r="H26" s="158"/>
      <c r="I26" s="158"/>
      <c r="J26" s="154" t="s">
        <v>111</v>
      </c>
      <c r="K26" s="4"/>
      <c r="L26" s="4"/>
      <c r="M26" s="158"/>
      <c r="N26" s="158"/>
      <c r="O26" s="158"/>
      <c r="P26" s="158"/>
      <c r="Q26" s="29"/>
      <c r="R26" s="29"/>
      <c r="S26" s="29"/>
      <c r="T26" s="111"/>
      <c r="U26" s="111"/>
      <c r="X26" s="36" t="s">
        <v>49</v>
      </c>
    </row>
    <row r="27" spans="1:24" ht="16.5" thickBot="1">
      <c r="A27" s="4"/>
      <c r="B27" s="162">
        <v>0.6</v>
      </c>
      <c r="C27" s="159"/>
      <c r="D27" s="159"/>
      <c r="E27" s="163">
        <f>NORMSINV(B27)</f>
        <v>0.25334710313579967</v>
      </c>
      <c r="F27" s="4"/>
      <c r="G27" s="162">
        <v>0.4</v>
      </c>
      <c r="H27" s="159"/>
      <c r="I27" s="159"/>
      <c r="J27" s="163">
        <f>NORMSINV(1-G27)</f>
        <v>0.25334710313579967</v>
      </c>
      <c r="K27" s="4"/>
      <c r="L27" s="4"/>
      <c r="M27" s="29"/>
      <c r="N27" s="29"/>
      <c r="O27" s="159"/>
      <c r="P27" s="159"/>
      <c r="Q27" s="156"/>
      <c r="R27" s="156"/>
      <c r="S27" s="156"/>
      <c r="T27" s="112"/>
      <c r="U27" s="112"/>
      <c r="X27" s="36" t="s">
        <v>82</v>
      </c>
    </row>
    <row r="28" spans="1:19" ht="16.5" thickBot="1">
      <c r="A28" s="4"/>
      <c r="B28" s="114" t="s">
        <v>106</v>
      </c>
      <c r="C28" s="67" t="s">
        <v>0</v>
      </c>
      <c r="D28" s="67" t="s">
        <v>1</v>
      </c>
      <c r="E28" s="154" t="s">
        <v>40</v>
      </c>
      <c r="F28" s="4"/>
      <c r="G28" s="114" t="s">
        <v>109</v>
      </c>
      <c r="H28" s="67" t="s">
        <v>0</v>
      </c>
      <c r="I28" s="67" t="s">
        <v>1</v>
      </c>
      <c r="J28" s="154" t="s">
        <v>40</v>
      </c>
      <c r="K28" s="4"/>
      <c r="L28" s="4"/>
      <c r="M28" s="4"/>
      <c r="N28" s="4"/>
      <c r="O28" s="4"/>
      <c r="P28" s="4"/>
      <c r="Q28" s="4"/>
      <c r="R28" s="4"/>
      <c r="S28" s="4"/>
    </row>
    <row r="29" spans="1:19" ht="16.5" thickBot="1">
      <c r="A29" s="4"/>
      <c r="B29" s="111"/>
      <c r="C29" s="62">
        <v>3</v>
      </c>
      <c r="D29" s="62">
        <v>2</v>
      </c>
      <c r="E29" s="163">
        <f>C29+E27*D29</f>
        <v>3.5066942062715993</v>
      </c>
      <c r="F29" s="4"/>
      <c r="G29" s="29"/>
      <c r="H29" s="62">
        <v>3</v>
      </c>
      <c r="I29" s="62">
        <v>2</v>
      </c>
      <c r="J29" s="163">
        <f>H29+J27*I29</f>
        <v>3.5066942062715993</v>
      </c>
      <c r="K29" s="4"/>
      <c r="L29" s="4"/>
      <c r="M29" s="4"/>
      <c r="N29" s="4"/>
      <c r="O29" s="4"/>
      <c r="P29" s="4"/>
      <c r="Q29" s="4"/>
      <c r="R29" s="4"/>
      <c r="S29" s="4"/>
    </row>
    <row r="30" s="4" customFormat="1" ht="15.75">
      <c r="B30" s="155" t="s">
        <v>90</v>
      </c>
    </row>
    <row r="31" s="4" customFormat="1" ht="15.75">
      <c r="B31" s="155" t="s">
        <v>91</v>
      </c>
    </row>
    <row r="32" spans="2:24" s="4" customFormat="1" ht="15.75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X32" s="4" t="s">
        <v>82</v>
      </c>
    </row>
    <row r="33" s="4" customFormat="1" ht="15.75">
      <c r="X33" s="4" t="s">
        <v>98</v>
      </c>
    </row>
    <row r="34" s="4" customFormat="1" ht="15.75">
      <c r="X34" s="4" t="s">
        <v>99</v>
      </c>
    </row>
    <row r="35" s="4" customFormat="1" ht="15.75">
      <c r="X35" s="4" t="s">
        <v>100</v>
      </c>
    </row>
    <row r="36" s="4" customFormat="1" ht="15.75">
      <c r="X36" s="553"/>
    </row>
    <row r="37" spans="6:24" ht="15.75">
      <c r="F37" s="109"/>
      <c r="X37" s="553"/>
    </row>
    <row r="38" ht="15.75">
      <c r="F38" s="109"/>
    </row>
    <row r="39" ht="15.75">
      <c r="F39" s="109"/>
    </row>
    <row r="40" spans="6:24" ht="15.75">
      <c r="F40" s="109"/>
      <c r="X40" s="36" t="s">
        <v>49</v>
      </c>
    </row>
    <row r="41" spans="6:24" ht="15.75">
      <c r="F41" s="109"/>
      <c r="X41" s="36" t="s">
        <v>82</v>
      </c>
    </row>
    <row r="42" ht="15.75">
      <c r="X42" s="36" t="s">
        <v>82</v>
      </c>
    </row>
    <row r="43" ht="15.75">
      <c r="X43" s="36" t="s">
        <v>101</v>
      </c>
    </row>
    <row r="44" ht="15.75">
      <c r="X44" s="36" t="s">
        <v>102</v>
      </c>
    </row>
    <row r="45" ht="15.75">
      <c r="X45" s="36" t="s">
        <v>103</v>
      </c>
    </row>
    <row r="46" ht="15.75">
      <c r="X46" s="553"/>
    </row>
    <row r="47" ht="15.75">
      <c r="X47" s="553"/>
    </row>
    <row r="48" ht="15.75"/>
    <row r="49" ht="15.75"/>
    <row r="50" ht="15.75"/>
    <row r="51" ht="15.75"/>
    <row r="52" ht="15.75"/>
    <row r="55" ht="15.75">
      <c r="X55" s="36" t="s">
        <v>88</v>
      </c>
    </row>
    <row r="56" ht="15.75">
      <c r="X56" s="36" t="s">
        <v>89</v>
      </c>
    </row>
    <row r="57" ht="15.75">
      <c r="X57" s="36" t="s">
        <v>82</v>
      </c>
    </row>
    <row r="58" ht="15.75">
      <c r="X58" s="36" t="s">
        <v>90</v>
      </c>
    </row>
    <row r="59" ht="15.75">
      <c r="X59" s="36" t="s">
        <v>91</v>
      </c>
    </row>
    <row r="60" ht="15.75">
      <c r="X60" s="36" t="s">
        <v>82</v>
      </c>
    </row>
    <row r="61" ht="15.75">
      <c r="X61" s="36" t="s">
        <v>92</v>
      </c>
    </row>
    <row r="62" ht="15.75">
      <c r="X62" s="36" t="s">
        <v>93</v>
      </c>
    </row>
  </sheetData>
  <sheetProtection/>
  <mergeCells count="4">
    <mergeCell ref="B18:B19"/>
    <mergeCell ref="AG24:AG25"/>
    <mergeCell ref="X36:X37"/>
    <mergeCell ref="X46:X47"/>
  </mergeCell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W121"/>
  <sheetViews>
    <sheetView zoomScalePageLayoutView="0" workbookViewId="0" topLeftCell="A55">
      <selection activeCell="I81" sqref="I81"/>
    </sheetView>
  </sheetViews>
  <sheetFormatPr defaultColWidth="9.140625" defaultRowHeight="12.75"/>
  <cols>
    <col min="1" max="1" width="3.57421875" style="85" customWidth="1"/>
    <col min="2" max="2" width="9.140625" style="85" customWidth="1"/>
    <col min="3" max="3" width="5.8515625" style="85" customWidth="1"/>
    <col min="4" max="4" width="6.421875" style="85" customWidth="1"/>
    <col min="5" max="5" width="7.421875" style="85" customWidth="1"/>
    <col min="6" max="16384" width="9.140625" style="85" customWidth="1"/>
  </cols>
  <sheetData>
    <row r="1" spans="2:16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2:16" ht="12.75">
      <c r="B2" s="13"/>
      <c r="C2" s="13"/>
      <c r="D2" s="86"/>
      <c r="E2" s="87"/>
      <c r="F2" s="13"/>
      <c r="G2" s="13"/>
      <c r="H2" s="13"/>
      <c r="I2" s="13"/>
      <c r="J2" s="13"/>
      <c r="M2" s="13"/>
      <c r="N2" s="13"/>
      <c r="O2" s="13"/>
      <c r="P2" s="13"/>
    </row>
    <row r="3" spans="2:19" ht="12.75">
      <c r="B3" s="13"/>
      <c r="C3" s="13"/>
      <c r="D3" s="88"/>
      <c r="E3" s="89"/>
      <c r="F3" s="13"/>
      <c r="G3" s="13"/>
      <c r="H3" s="86"/>
      <c r="I3" s="86"/>
      <c r="J3" s="13"/>
      <c r="M3" s="13"/>
      <c r="N3" s="13"/>
      <c r="O3" s="13"/>
      <c r="P3" s="13"/>
      <c r="S3" s="166" t="s">
        <v>135</v>
      </c>
    </row>
    <row r="4" spans="2:16" ht="12.75">
      <c r="B4" s="13"/>
      <c r="C4" s="13"/>
      <c r="D4" s="88"/>
      <c r="E4" s="89"/>
      <c r="F4" s="13"/>
      <c r="G4" s="13"/>
      <c r="H4" s="90"/>
      <c r="I4" s="90"/>
      <c r="J4" s="13"/>
      <c r="M4" s="13"/>
      <c r="N4" s="13"/>
      <c r="O4" s="13"/>
      <c r="P4" s="13"/>
    </row>
    <row r="5" spans="2:16" ht="12.75">
      <c r="B5" s="13"/>
      <c r="C5" s="13"/>
      <c r="D5" s="88"/>
      <c r="E5" s="89"/>
      <c r="F5" s="13"/>
      <c r="G5" s="13"/>
      <c r="H5" s="13"/>
      <c r="I5" s="13"/>
      <c r="J5" s="13"/>
      <c r="N5" s="13"/>
      <c r="O5" s="13"/>
      <c r="P5" s="13"/>
    </row>
    <row r="6" spans="2:16" ht="12.75">
      <c r="B6" s="13"/>
      <c r="C6" s="13"/>
      <c r="D6" s="88"/>
      <c r="E6" s="89"/>
      <c r="F6" s="13"/>
      <c r="G6" s="13"/>
      <c r="H6" s="13"/>
      <c r="J6" s="13"/>
      <c r="N6" s="13"/>
      <c r="O6" s="13"/>
      <c r="P6" s="13"/>
    </row>
    <row r="7" spans="2:16" ht="12.75">
      <c r="B7" s="13"/>
      <c r="C7" s="13"/>
      <c r="D7" s="88"/>
      <c r="E7" s="89"/>
      <c r="F7" s="13"/>
      <c r="G7" s="91"/>
      <c r="H7" s="13"/>
      <c r="I7" s="13"/>
      <c r="J7" s="13"/>
      <c r="N7" s="13"/>
      <c r="O7" s="13"/>
      <c r="P7" s="13"/>
    </row>
    <row r="8" spans="2:16" ht="12.75">
      <c r="B8" s="13"/>
      <c r="C8" s="13"/>
      <c r="D8" s="88"/>
      <c r="E8" s="89"/>
      <c r="F8" s="13"/>
      <c r="G8" s="92"/>
      <c r="H8" s="13"/>
      <c r="I8" s="13"/>
      <c r="J8" s="13"/>
      <c r="N8" s="13"/>
      <c r="O8" s="13"/>
      <c r="P8" s="13"/>
    </row>
    <row r="9" spans="2:16" ht="12.75">
      <c r="B9" s="13"/>
      <c r="C9" s="13"/>
      <c r="D9" s="88"/>
      <c r="E9" s="89"/>
      <c r="F9" s="13"/>
      <c r="G9" s="91"/>
      <c r="H9" s="13"/>
      <c r="I9" s="13"/>
      <c r="J9" s="13"/>
      <c r="N9" s="13"/>
      <c r="O9" s="13"/>
      <c r="P9" s="13"/>
    </row>
    <row r="10" spans="2:16" ht="12.75">
      <c r="B10" s="13"/>
      <c r="C10" s="13"/>
      <c r="D10" s="88"/>
      <c r="E10" s="89"/>
      <c r="F10" s="13"/>
      <c r="G10" s="92"/>
      <c r="H10" s="13"/>
      <c r="I10" s="13"/>
      <c r="J10" s="13"/>
      <c r="N10" s="13"/>
      <c r="O10" s="13"/>
      <c r="P10" s="13"/>
    </row>
    <row r="11" spans="2:16" ht="12.75">
      <c r="B11" s="13"/>
      <c r="C11" s="13"/>
      <c r="D11" s="88"/>
      <c r="E11" s="89"/>
      <c r="F11" s="13"/>
      <c r="G11" s="91"/>
      <c r="H11" s="13"/>
      <c r="I11" s="13"/>
      <c r="J11" s="13"/>
      <c r="N11" s="13"/>
      <c r="O11" s="13"/>
      <c r="P11" s="13"/>
    </row>
    <row r="12" spans="2:16" ht="12.75">
      <c r="B12" s="13"/>
      <c r="C12" s="13"/>
      <c r="D12" s="88"/>
      <c r="E12" s="89"/>
      <c r="F12" s="13"/>
      <c r="G12" s="92"/>
      <c r="H12" s="13"/>
      <c r="I12" s="13"/>
      <c r="J12" s="13"/>
      <c r="N12" s="13"/>
      <c r="O12" s="13"/>
      <c r="P12" s="13"/>
    </row>
    <row r="13" spans="2:16" ht="12.75">
      <c r="B13" s="13"/>
      <c r="C13" s="13"/>
      <c r="D13" s="88"/>
      <c r="E13" s="89"/>
      <c r="F13" s="13"/>
      <c r="G13" s="91"/>
      <c r="H13" s="13"/>
      <c r="I13" s="13"/>
      <c r="J13" s="13"/>
      <c r="N13" s="13"/>
      <c r="O13" s="13"/>
      <c r="P13" s="13"/>
    </row>
    <row r="14" spans="2:16" ht="12.75">
      <c r="B14" s="13"/>
      <c r="C14" s="13"/>
      <c r="D14" s="88"/>
      <c r="E14" s="89"/>
      <c r="F14" s="13"/>
      <c r="G14" s="92"/>
      <c r="H14" s="13"/>
      <c r="I14" s="13"/>
      <c r="J14" s="13"/>
      <c r="K14" s="13"/>
      <c r="L14" s="13"/>
      <c r="M14" s="13"/>
      <c r="N14" s="13"/>
      <c r="O14" s="13"/>
      <c r="P14" s="13"/>
    </row>
    <row r="15" spans="2:16" ht="12.75">
      <c r="B15" s="13"/>
      <c r="C15" s="13"/>
      <c r="D15" s="88"/>
      <c r="E15" s="89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2:16" ht="12.75">
      <c r="B16" s="13"/>
      <c r="C16" s="13"/>
      <c r="D16" s="88"/>
      <c r="E16" s="89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2:16" ht="12.75">
      <c r="B17" s="13"/>
      <c r="C17" s="13"/>
      <c r="D17" s="88"/>
      <c r="E17" s="89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2:23" ht="12.75">
      <c r="B18" s="13"/>
      <c r="C18" s="13"/>
      <c r="D18" s="88"/>
      <c r="E18" s="89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93"/>
      <c r="R18" s="93"/>
      <c r="S18" s="93"/>
      <c r="T18" s="93"/>
      <c r="U18" s="93"/>
      <c r="V18" s="93"/>
      <c r="W18" s="93"/>
    </row>
    <row r="19" spans="2:23" ht="12.75">
      <c r="B19" s="13"/>
      <c r="C19" s="13"/>
      <c r="D19" s="88"/>
      <c r="E19" s="89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93"/>
      <c r="R19" s="93"/>
      <c r="S19" s="93"/>
      <c r="T19" s="93"/>
      <c r="U19" s="93"/>
      <c r="V19" s="93"/>
      <c r="W19" s="93"/>
    </row>
    <row r="20" spans="2:23" ht="12.75">
      <c r="B20" s="13"/>
      <c r="C20" s="13"/>
      <c r="D20" s="88"/>
      <c r="E20" s="89"/>
      <c r="F20" s="554"/>
      <c r="G20" s="555"/>
      <c r="H20" s="555"/>
      <c r="I20" s="555"/>
      <c r="J20" s="555"/>
      <c r="K20" s="555"/>
      <c r="L20" s="555"/>
      <c r="M20" s="555"/>
      <c r="N20" s="555"/>
      <c r="O20" s="13"/>
      <c r="P20" s="13"/>
      <c r="Q20" s="93"/>
      <c r="R20" s="93"/>
      <c r="S20" s="93"/>
      <c r="T20" s="93"/>
      <c r="U20" s="93"/>
      <c r="V20" s="93"/>
      <c r="W20" s="93"/>
    </row>
    <row r="21" spans="2:16" ht="21.75" customHeight="1">
      <c r="B21" s="13"/>
      <c r="C21" s="13"/>
      <c r="D21" s="88"/>
      <c r="E21" s="89"/>
      <c r="F21" s="555"/>
      <c r="G21" s="555"/>
      <c r="H21" s="555"/>
      <c r="I21" s="555"/>
      <c r="J21" s="555"/>
      <c r="K21" s="555"/>
      <c r="L21" s="555"/>
      <c r="M21" s="555"/>
      <c r="N21" s="555"/>
      <c r="O21" s="13"/>
      <c r="P21" s="13"/>
    </row>
    <row r="22" spans="2:16" ht="12.75">
      <c r="B22" s="13"/>
      <c r="C22" s="13"/>
      <c r="D22" s="88"/>
      <c r="E22" s="89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2:16" ht="12.75">
      <c r="B23" s="13"/>
      <c r="C23" s="13"/>
      <c r="D23" s="88"/>
      <c r="E23" s="89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2:16" ht="12.75">
      <c r="B24" s="13"/>
      <c r="C24" s="13"/>
      <c r="D24" s="88"/>
      <c r="E24" s="89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2:16" ht="12.75">
      <c r="B25" s="13"/>
      <c r="C25" s="13"/>
      <c r="D25" s="88"/>
      <c r="E25" s="89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2:16" ht="12.75">
      <c r="B26" s="13"/>
      <c r="C26" s="13"/>
      <c r="D26" s="88"/>
      <c r="E26" s="89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2:16" ht="20.25">
      <c r="B27" s="13"/>
      <c r="C27" s="13"/>
      <c r="D27" s="88"/>
      <c r="E27" s="89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</row>
    <row r="28" spans="2:16" ht="20.25">
      <c r="B28" s="13"/>
      <c r="C28" s="13"/>
      <c r="D28" s="88"/>
      <c r="E28" s="89"/>
      <c r="F28" s="13"/>
      <c r="G28" s="13"/>
      <c r="H28" s="13"/>
      <c r="I28" s="13"/>
      <c r="J28" s="13"/>
      <c r="K28" s="15"/>
      <c r="L28" s="13"/>
      <c r="M28" s="13"/>
      <c r="N28" s="13"/>
      <c r="O28" s="13"/>
      <c r="P28" s="13"/>
    </row>
    <row r="29" spans="2:16" ht="20.25">
      <c r="B29" s="13"/>
      <c r="C29" s="13"/>
      <c r="D29" s="88"/>
      <c r="E29" s="89"/>
      <c r="F29" s="13"/>
      <c r="G29" s="13"/>
      <c r="H29" s="13"/>
      <c r="I29" s="13"/>
      <c r="J29" s="13"/>
      <c r="K29" s="16"/>
      <c r="L29" s="13"/>
      <c r="M29" s="13"/>
      <c r="N29" s="13"/>
      <c r="O29" s="13"/>
      <c r="P29" s="13"/>
    </row>
    <row r="30" spans="2:16" ht="15.75" customHeight="1">
      <c r="B30" s="13"/>
      <c r="C30" s="13"/>
      <c r="D30" s="88"/>
      <c r="E30" s="89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</row>
    <row r="31" spans="2:16" ht="15" customHeight="1">
      <c r="B31" s="13"/>
      <c r="C31" s="13"/>
      <c r="D31" s="88"/>
      <c r="E31" s="89"/>
      <c r="F31" s="13"/>
      <c r="G31" s="13"/>
      <c r="H31" s="13"/>
      <c r="I31" s="13"/>
      <c r="J31" s="13"/>
      <c r="K31" s="15"/>
      <c r="L31" s="13"/>
      <c r="M31" s="13"/>
      <c r="N31" s="13"/>
      <c r="O31" s="13"/>
      <c r="P31" s="13"/>
    </row>
    <row r="32" spans="2:16" ht="14.25" customHeight="1">
      <c r="B32" s="13"/>
      <c r="C32" s="13"/>
      <c r="D32" s="88"/>
      <c r="E32" s="89"/>
      <c r="F32" s="13"/>
      <c r="G32" s="13"/>
      <c r="H32" s="13"/>
      <c r="I32" s="13"/>
      <c r="J32" s="13"/>
      <c r="K32" s="12"/>
      <c r="L32" s="13"/>
      <c r="M32" s="13"/>
      <c r="N32" s="13"/>
      <c r="O32" s="13"/>
      <c r="P32" s="13"/>
    </row>
    <row r="33" spans="2:16" ht="12.75">
      <c r="B33" s="13"/>
      <c r="D33" s="13"/>
      <c r="E33" s="13"/>
      <c r="O33" s="13"/>
      <c r="P33" s="13"/>
    </row>
    <row r="34" spans="2:16" ht="12.75">
      <c r="B34" s="13"/>
      <c r="D34" s="13"/>
      <c r="E34" s="13"/>
      <c r="O34" s="13"/>
      <c r="P34" s="13"/>
    </row>
    <row r="35" spans="2:16" ht="12.75">
      <c r="B35" s="13"/>
      <c r="D35" s="13"/>
      <c r="E35" s="13"/>
      <c r="O35" s="13"/>
      <c r="P35" s="13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7" spans="8:11" ht="12.75">
      <c r="H47" s="5" t="s">
        <v>18</v>
      </c>
      <c r="I47" s="5"/>
      <c r="J47" s="5"/>
      <c r="K47" s="5"/>
    </row>
    <row r="48" spans="8:11" ht="12.75">
      <c r="H48" s="5" t="s">
        <v>19</v>
      </c>
      <c r="I48" s="5"/>
      <c r="J48" s="5"/>
      <c r="K48" s="5"/>
    </row>
    <row r="49" spans="8:11" ht="12.75">
      <c r="H49" s="5" t="s">
        <v>20</v>
      </c>
      <c r="I49" s="5"/>
      <c r="J49" s="5"/>
      <c r="K49" s="5"/>
    </row>
    <row r="50" spans="8:11" ht="12.75">
      <c r="H50" s="5"/>
      <c r="I50" s="5" t="s">
        <v>21</v>
      </c>
      <c r="J50" s="5"/>
      <c r="K50" s="5"/>
    </row>
    <row r="51" spans="8:11" ht="12.75">
      <c r="H51" s="5"/>
      <c r="I51" s="5" t="s">
        <v>22</v>
      </c>
      <c r="J51" s="5"/>
      <c r="K51" s="5"/>
    </row>
    <row r="52" spans="8:11" ht="12.75">
      <c r="H52" s="5"/>
      <c r="I52" s="5" t="s">
        <v>23</v>
      </c>
      <c r="J52" s="5"/>
      <c r="K52" s="5"/>
    </row>
    <row r="54" ht="12.75">
      <c r="C54" s="85" t="s">
        <v>81</v>
      </c>
    </row>
    <row r="55" ht="12.75">
      <c r="C55" s="85" t="s">
        <v>82</v>
      </c>
    </row>
    <row r="56" ht="12.75">
      <c r="C56" s="85" t="s">
        <v>83</v>
      </c>
    </row>
    <row r="57" ht="12.75">
      <c r="C57" s="85" t="s">
        <v>84</v>
      </c>
    </row>
    <row r="58" ht="12.75">
      <c r="C58" s="85" t="s">
        <v>85</v>
      </c>
    </row>
    <row r="59" ht="12.75">
      <c r="C59" s="85" t="s">
        <v>82</v>
      </c>
    </row>
    <row r="60" ht="12.75">
      <c r="C60" s="85" t="s">
        <v>86</v>
      </c>
    </row>
    <row r="61" ht="12.75">
      <c r="C61" s="85" t="s">
        <v>87</v>
      </c>
    </row>
    <row r="62" ht="12.75">
      <c r="C62" s="85" t="s">
        <v>82</v>
      </c>
    </row>
    <row r="63" ht="12.75">
      <c r="C63" s="85" t="s">
        <v>88</v>
      </c>
    </row>
    <row r="64" ht="12.75">
      <c r="C64" s="85" t="s">
        <v>89</v>
      </c>
    </row>
    <row r="65" ht="12.75">
      <c r="C65" s="85" t="s">
        <v>82</v>
      </c>
    </row>
    <row r="66" ht="12.75">
      <c r="C66" s="85" t="s">
        <v>90</v>
      </c>
    </row>
    <row r="67" ht="12.75">
      <c r="C67" s="85" t="s">
        <v>91</v>
      </c>
    </row>
    <row r="68" ht="12.75">
      <c r="C68" s="85" t="s">
        <v>82</v>
      </c>
    </row>
    <row r="69" ht="12.75">
      <c r="C69" s="85" t="s">
        <v>92</v>
      </c>
    </row>
    <row r="70" ht="12.75">
      <c r="C70" s="85" t="s">
        <v>93</v>
      </c>
    </row>
    <row r="72" spans="2:16" ht="15.75">
      <c r="B72" s="36" t="s">
        <v>82</v>
      </c>
      <c r="C72" s="36"/>
      <c r="D72" s="36"/>
      <c r="E72" s="36"/>
      <c r="F72" s="109"/>
      <c r="G72" s="36"/>
      <c r="H72" s="36"/>
      <c r="I72" s="36"/>
      <c r="J72" s="36"/>
      <c r="K72" s="36"/>
      <c r="L72" s="36"/>
      <c r="M72" s="36"/>
      <c r="N72" s="36"/>
      <c r="O72" s="36"/>
      <c r="P72" s="36"/>
    </row>
    <row r="73" spans="2:16" ht="15.75">
      <c r="B73" s="36" t="s">
        <v>88</v>
      </c>
      <c r="C73" s="36"/>
      <c r="D73" s="36"/>
      <c r="E73" s="36"/>
      <c r="F73" s="109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5.75">
      <c r="B74" s="36" t="s">
        <v>89</v>
      </c>
      <c r="C74" s="36"/>
      <c r="D74" s="36"/>
      <c r="E74" s="36"/>
      <c r="F74" s="109"/>
      <c r="G74" s="36"/>
      <c r="H74" s="36"/>
      <c r="I74" s="36"/>
      <c r="J74" s="36"/>
      <c r="K74" s="36"/>
      <c r="L74" s="36"/>
      <c r="M74" s="36"/>
      <c r="N74" s="36"/>
      <c r="O74" s="36"/>
      <c r="P74" s="36"/>
    </row>
    <row r="75" spans="2:16" ht="15.75">
      <c r="B75" s="36" t="s">
        <v>82</v>
      </c>
      <c r="C75" s="36"/>
      <c r="D75" s="36"/>
      <c r="E75" s="36"/>
      <c r="F75" s="109"/>
      <c r="G75" s="36"/>
      <c r="H75" s="36"/>
      <c r="I75" s="36"/>
      <c r="J75" s="36"/>
      <c r="K75" s="36"/>
      <c r="L75" s="36"/>
      <c r="M75" s="36"/>
      <c r="N75" s="36"/>
      <c r="O75" s="36"/>
      <c r="P75" s="36"/>
    </row>
    <row r="76" spans="2:16" ht="15.75">
      <c r="B76" s="36" t="s">
        <v>90</v>
      </c>
      <c r="C76" s="36"/>
      <c r="D76" s="36"/>
      <c r="E76" s="36"/>
      <c r="F76" s="109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2:16" ht="15.75">
      <c r="B77" s="36" t="s">
        <v>91</v>
      </c>
      <c r="C77" s="36"/>
      <c r="D77" s="36"/>
      <c r="E77" s="36"/>
      <c r="F77" s="109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2:16" ht="15.75">
      <c r="B78" s="36" t="s">
        <v>82</v>
      </c>
      <c r="C78" s="36"/>
      <c r="D78" s="36"/>
      <c r="E78" s="36"/>
      <c r="F78" s="109"/>
      <c r="G78" s="36"/>
      <c r="H78" s="36"/>
      <c r="I78" s="36"/>
      <c r="J78" s="36"/>
      <c r="K78" s="36"/>
      <c r="L78" s="36"/>
      <c r="M78" s="36"/>
      <c r="N78" s="36"/>
      <c r="O78" s="36"/>
      <c r="P78" s="36"/>
    </row>
    <row r="79" spans="2:16" ht="15.75">
      <c r="B79" s="36" t="s">
        <v>92</v>
      </c>
      <c r="C79" s="36"/>
      <c r="D79" s="36"/>
      <c r="E79" s="36"/>
      <c r="F79" s="109"/>
      <c r="G79" s="36"/>
      <c r="H79" s="36"/>
      <c r="I79" s="36"/>
      <c r="J79" s="36"/>
      <c r="K79" s="36"/>
      <c r="L79" s="36"/>
      <c r="M79" s="36"/>
      <c r="N79" s="36"/>
      <c r="O79" s="36"/>
      <c r="P79" s="36"/>
    </row>
    <row r="80" spans="2:16" ht="15.75">
      <c r="B80" s="36" t="s">
        <v>93</v>
      </c>
      <c r="C80" s="36"/>
      <c r="D80" s="36"/>
      <c r="E80" s="36"/>
      <c r="F80" s="109"/>
      <c r="G80" s="36"/>
      <c r="H80" s="36"/>
      <c r="I80" s="36"/>
      <c r="J80" s="36"/>
      <c r="K80" s="36"/>
      <c r="L80" s="36"/>
      <c r="M80" s="36"/>
      <c r="N80" s="36"/>
      <c r="O80" s="36"/>
      <c r="P80" s="36"/>
    </row>
    <row r="81" spans="2:16" ht="15.75">
      <c r="B81" s="36"/>
      <c r="C81" s="36"/>
      <c r="D81" s="36"/>
      <c r="E81" s="36"/>
      <c r="F81" s="109"/>
      <c r="G81" s="36"/>
      <c r="H81" s="36"/>
      <c r="I81" s="36"/>
      <c r="J81" s="36"/>
      <c r="K81" s="36"/>
      <c r="L81" s="36"/>
      <c r="M81" s="36"/>
      <c r="N81" s="36"/>
      <c r="O81" s="36"/>
      <c r="P81" s="36"/>
    </row>
    <row r="82" spans="2:16" ht="15.75">
      <c r="B82" s="36" t="s">
        <v>94</v>
      </c>
      <c r="C82" s="36"/>
      <c r="D82" s="36"/>
      <c r="E82" s="36"/>
      <c r="F82" s="109"/>
      <c r="G82" s="36"/>
      <c r="H82" s="36"/>
      <c r="I82" s="36"/>
      <c r="J82" s="36"/>
      <c r="K82" s="36"/>
      <c r="L82" s="36"/>
      <c r="M82" s="36"/>
      <c r="N82" s="36"/>
      <c r="O82" s="36"/>
      <c r="P82" s="36"/>
    </row>
    <row r="83" spans="2:16" ht="15.75">
      <c r="B83" s="36" t="s">
        <v>104</v>
      </c>
      <c r="C83" s="36"/>
      <c r="D83" s="36"/>
      <c r="E83" s="36"/>
      <c r="F83" s="109"/>
      <c r="G83" s="36"/>
      <c r="H83" s="36"/>
      <c r="I83" s="36"/>
      <c r="J83" s="36"/>
      <c r="K83" s="36"/>
      <c r="L83" s="36"/>
      <c r="M83" s="36"/>
      <c r="N83" s="36"/>
      <c r="O83" s="36"/>
      <c r="P83" s="36"/>
    </row>
    <row r="84" spans="2:16" ht="15.75">
      <c r="B84" s="36" t="s">
        <v>95</v>
      </c>
      <c r="C84" s="36"/>
      <c r="D84" s="36"/>
      <c r="E84" s="36"/>
      <c r="F84" s="109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2:16" ht="15.75">
      <c r="B85" s="36"/>
      <c r="C85" s="36"/>
      <c r="D85" s="36"/>
      <c r="E85" s="36"/>
      <c r="F85" s="109"/>
      <c r="G85" s="36"/>
      <c r="H85" s="36"/>
      <c r="I85" s="36"/>
      <c r="J85" s="36"/>
      <c r="K85" s="36"/>
      <c r="L85" s="36"/>
      <c r="M85" s="36"/>
      <c r="N85" s="36"/>
      <c r="O85" s="36"/>
      <c r="P85" s="36"/>
    </row>
    <row r="86" spans="2:16" ht="15.75">
      <c r="B86" s="36" t="s">
        <v>96</v>
      </c>
      <c r="C86" s="36"/>
      <c r="D86" s="36"/>
      <c r="E86" s="36"/>
      <c r="F86" s="109"/>
      <c r="G86" s="36"/>
      <c r="H86" s="36"/>
      <c r="I86" s="36"/>
      <c r="J86" s="36"/>
      <c r="K86" s="553"/>
      <c r="L86" s="36"/>
      <c r="M86" s="36"/>
      <c r="N86" s="36"/>
      <c r="O86" s="36"/>
      <c r="P86" s="36"/>
    </row>
    <row r="87" spans="2:16" ht="15.75">
      <c r="B87" s="36" t="s">
        <v>97</v>
      </c>
      <c r="C87" s="36"/>
      <c r="D87" s="36"/>
      <c r="E87" s="36"/>
      <c r="F87" s="109"/>
      <c r="G87" s="36"/>
      <c r="H87" s="36"/>
      <c r="I87" s="36"/>
      <c r="J87" s="36"/>
      <c r="K87" s="553"/>
      <c r="L87" s="36"/>
      <c r="M87" s="36"/>
      <c r="N87" s="36"/>
      <c r="O87" s="36"/>
      <c r="P87" s="36"/>
    </row>
    <row r="88" spans="2:16" ht="15.75">
      <c r="B88" s="36" t="s">
        <v>49</v>
      </c>
      <c r="C88" s="36"/>
      <c r="D88" s="36"/>
      <c r="E88" s="36"/>
      <c r="F88" s="109"/>
      <c r="G88" s="36"/>
      <c r="H88" s="36"/>
      <c r="I88" s="36"/>
      <c r="J88" s="36"/>
      <c r="K88" s="36"/>
      <c r="L88" s="36"/>
      <c r="M88" s="36"/>
      <c r="N88" s="36"/>
      <c r="O88" s="36"/>
      <c r="P88" s="36"/>
    </row>
    <row r="89" spans="2:16" ht="15.75">
      <c r="B89" s="36" t="s">
        <v>82</v>
      </c>
      <c r="C89" s="36"/>
      <c r="D89" s="36"/>
      <c r="E89" s="36"/>
      <c r="F89" s="109"/>
      <c r="G89" s="36"/>
      <c r="H89" s="36"/>
      <c r="I89" s="36"/>
      <c r="J89" s="36"/>
      <c r="K89" s="36"/>
      <c r="L89" s="36"/>
      <c r="M89" s="36"/>
      <c r="N89" s="36"/>
      <c r="O89" s="36"/>
      <c r="P89" s="36"/>
    </row>
    <row r="90" spans="2:16" ht="15.75">
      <c r="B90" s="36"/>
      <c r="C90" s="36"/>
      <c r="D90" s="36"/>
      <c r="E90" s="36"/>
      <c r="F90" s="109"/>
      <c r="G90" s="36"/>
      <c r="H90" s="36"/>
      <c r="I90" s="36"/>
      <c r="J90" s="36"/>
      <c r="K90" s="36"/>
      <c r="L90" s="36"/>
      <c r="M90" s="36"/>
      <c r="N90" s="36"/>
      <c r="O90" s="36"/>
      <c r="P90" s="36"/>
    </row>
    <row r="91" spans="2:16" ht="15.75">
      <c r="B91" s="36"/>
      <c r="C91" s="36"/>
      <c r="D91" s="36"/>
      <c r="E91" s="36"/>
      <c r="F91" s="109"/>
      <c r="G91" s="36"/>
      <c r="H91" s="36"/>
      <c r="I91" s="36"/>
      <c r="J91" s="36"/>
      <c r="K91" s="36"/>
      <c r="L91" s="36"/>
      <c r="M91" s="36"/>
      <c r="N91" s="36"/>
      <c r="O91" s="36"/>
      <c r="P91" s="36"/>
    </row>
    <row r="92" spans="2:16" ht="15.75">
      <c r="B92" s="36"/>
      <c r="C92" s="36"/>
      <c r="D92" s="36"/>
      <c r="E92" s="36"/>
      <c r="F92" s="109"/>
      <c r="G92" s="36"/>
      <c r="H92" s="36"/>
      <c r="I92" s="36"/>
      <c r="J92" s="36"/>
      <c r="K92" s="36"/>
      <c r="L92" s="36"/>
      <c r="M92" s="36"/>
      <c r="N92" s="36"/>
      <c r="O92" s="36"/>
      <c r="P92" s="36"/>
    </row>
    <row r="93" spans="2:16" ht="15.75">
      <c r="B93" s="36"/>
      <c r="C93" s="36"/>
      <c r="D93" s="36"/>
      <c r="E93" s="36"/>
      <c r="F93" s="109"/>
      <c r="G93" s="36"/>
      <c r="H93" s="36"/>
      <c r="I93" s="36"/>
      <c r="J93" s="36"/>
      <c r="K93" s="36"/>
      <c r="L93" s="36"/>
      <c r="M93" s="36"/>
      <c r="N93" s="36"/>
      <c r="O93" s="36"/>
      <c r="P93" s="36"/>
    </row>
    <row r="94" spans="2:16" ht="15.75">
      <c r="B94" s="36" t="s">
        <v>82</v>
      </c>
      <c r="C94" s="36"/>
      <c r="D94" s="36"/>
      <c r="E94" s="36"/>
      <c r="F94" s="109"/>
      <c r="G94" s="36"/>
      <c r="H94" s="36"/>
      <c r="I94" s="36"/>
      <c r="J94" s="36"/>
      <c r="K94" s="36"/>
      <c r="L94" s="36"/>
      <c r="M94" s="36"/>
      <c r="N94" s="36"/>
      <c r="O94" s="36"/>
      <c r="P94" s="36"/>
    </row>
    <row r="95" spans="2:16" ht="15.75">
      <c r="B95" s="36" t="s">
        <v>98</v>
      </c>
      <c r="C95" s="36"/>
      <c r="D95" s="36"/>
      <c r="E95" s="36"/>
      <c r="F95" s="109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spans="2:16" ht="15.75">
      <c r="B96" s="36" t="s">
        <v>99</v>
      </c>
      <c r="C96" s="36"/>
      <c r="D96" s="36"/>
      <c r="E96" s="36"/>
      <c r="F96" s="109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2:16" ht="15.75">
      <c r="B97" s="36" t="s">
        <v>100</v>
      </c>
      <c r="C97" s="36"/>
      <c r="D97" s="36"/>
      <c r="E97" s="36"/>
      <c r="F97" s="109"/>
      <c r="G97" s="36"/>
      <c r="H97" s="36"/>
      <c r="I97" s="36"/>
      <c r="J97" s="36"/>
      <c r="K97" s="36"/>
      <c r="L97" s="36"/>
      <c r="M97" s="36"/>
      <c r="N97" s="36"/>
      <c r="O97" s="36"/>
      <c r="P97" s="36"/>
    </row>
    <row r="98" spans="2:16" ht="15.75">
      <c r="B98" s="553"/>
      <c r="C98" s="36"/>
      <c r="D98" s="36"/>
      <c r="E98" s="36"/>
      <c r="F98" s="109"/>
      <c r="G98" s="36"/>
      <c r="H98" s="36"/>
      <c r="I98" s="36"/>
      <c r="J98" s="36"/>
      <c r="K98" s="36"/>
      <c r="L98" s="36"/>
      <c r="M98" s="36"/>
      <c r="N98" s="36"/>
      <c r="O98" s="36"/>
      <c r="P98" s="36"/>
    </row>
    <row r="99" spans="2:16" ht="15.75">
      <c r="B99" s="553"/>
      <c r="C99" s="36"/>
      <c r="D99" s="36"/>
      <c r="E99" s="36"/>
      <c r="F99" s="109"/>
      <c r="G99" s="36"/>
      <c r="H99" s="36"/>
      <c r="I99" s="36"/>
      <c r="J99" s="36"/>
      <c r="K99" s="36"/>
      <c r="L99" s="36"/>
      <c r="M99" s="36"/>
      <c r="N99" s="36"/>
      <c r="O99" s="36"/>
      <c r="P99" s="36"/>
    </row>
    <row r="100" spans="2:16" ht="15.75">
      <c r="B100" s="36"/>
      <c r="C100" s="36"/>
      <c r="D100" s="36"/>
      <c r="E100" s="36"/>
      <c r="F100" s="109"/>
      <c r="G100" s="36"/>
      <c r="H100" s="36"/>
      <c r="I100" s="36"/>
      <c r="J100" s="36"/>
      <c r="K100" s="36"/>
      <c r="L100" s="36"/>
      <c r="M100" s="36"/>
      <c r="N100" s="36"/>
      <c r="O100" s="36"/>
      <c r="P100" s="36"/>
    </row>
    <row r="101" spans="2:16" ht="15.75">
      <c r="B101" s="36"/>
      <c r="C101" s="36"/>
      <c r="D101" s="36"/>
      <c r="E101" s="36"/>
      <c r="F101" s="109"/>
      <c r="G101" s="36"/>
      <c r="H101" s="36"/>
      <c r="I101" s="36"/>
      <c r="J101" s="36"/>
      <c r="K101" s="36"/>
      <c r="L101" s="36"/>
      <c r="M101" s="36"/>
      <c r="N101" s="36"/>
      <c r="O101" s="36"/>
      <c r="P101" s="36"/>
    </row>
    <row r="102" spans="2:16" ht="15.75">
      <c r="B102" s="36" t="s">
        <v>49</v>
      </c>
      <c r="C102" s="36"/>
      <c r="D102" s="36"/>
      <c r="E102" s="36"/>
      <c r="F102" s="109"/>
      <c r="G102" s="36"/>
      <c r="H102" s="36"/>
      <c r="I102" s="36"/>
      <c r="J102" s="36"/>
      <c r="K102" s="36"/>
      <c r="L102" s="36"/>
      <c r="M102" s="36"/>
      <c r="N102" s="36"/>
      <c r="O102" s="36"/>
      <c r="P102" s="36"/>
    </row>
    <row r="103" spans="2:16" ht="15.75">
      <c r="B103" s="36" t="s">
        <v>82</v>
      </c>
      <c r="C103" s="36"/>
      <c r="D103" s="36"/>
      <c r="E103" s="36"/>
      <c r="F103" s="109"/>
      <c r="G103" s="36"/>
      <c r="H103" s="36"/>
      <c r="I103" s="36"/>
      <c r="J103" s="36"/>
      <c r="K103" s="36"/>
      <c r="L103" s="36"/>
      <c r="M103" s="36"/>
      <c r="N103" s="36"/>
      <c r="O103" s="36"/>
      <c r="P103" s="36"/>
    </row>
    <row r="104" spans="2:16" ht="15.75">
      <c r="B104" s="36" t="s">
        <v>82</v>
      </c>
      <c r="C104" s="36"/>
      <c r="D104" s="36"/>
      <c r="E104" s="36"/>
      <c r="F104" s="109"/>
      <c r="G104" s="36"/>
      <c r="H104" s="36"/>
      <c r="I104" s="36"/>
      <c r="J104" s="36"/>
      <c r="K104" s="36"/>
      <c r="L104" s="36"/>
      <c r="M104" s="36"/>
      <c r="N104" s="36"/>
      <c r="O104" s="36"/>
      <c r="P104" s="36"/>
    </row>
    <row r="105" spans="2:16" ht="15.75">
      <c r="B105" s="36" t="s">
        <v>101</v>
      </c>
      <c r="C105" s="36"/>
      <c r="D105" s="36"/>
      <c r="E105" s="36"/>
      <c r="F105" s="109"/>
      <c r="G105" s="36"/>
      <c r="H105" s="36"/>
      <c r="I105" s="36"/>
      <c r="J105" s="36"/>
      <c r="K105" s="36"/>
      <c r="L105" s="36"/>
      <c r="M105" s="36"/>
      <c r="N105" s="36"/>
      <c r="O105" s="36"/>
      <c r="P105" s="36"/>
    </row>
    <row r="106" spans="2:16" ht="15.75">
      <c r="B106" s="36" t="s">
        <v>102</v>
      </c>
      <c r="C106" s="36"/>
      <c r="D106" s="36"/>
      <c r="E106" s="36"/>
      <c r="F106" s="109"/>
      <c r="G106" s="36"/>
      <c r="H106" s="36"/>
      <c r="I106" s="36"/>
      <c r="J106" s="36"/>
      <c r="K106" s="36"/>
      <c r="L106" s="36"/>
      <c r="M106" s="36"/>
      <c r="N106" s="36"/>
      <c r="O106" s="36"/>
      <c r="P106" s="36"/>
    </row>
    <row r="107" spans="2:16" ht="15.75">
      <c r="B107" s="36" t="s">
        <v>103</v>
      </c>
      <c r="C107" s="36"/>
      <c r="D107" s="36"/>
      <c r="E107" s="36"/>
      <c r="F107" s="109"/>
      <c r="G107" s="36"/>
      <c r="H107" s="36"/>
      <c r="I107" s="36"/>
      <c r="J107" s="36"/>
      <c r="K107" s="36"/>
      <c r="L107" s="36"/>
      <c r="M107" s="36"/>
      <c r="N107" s="36"/>
      <c r="O107" s="36"/>
      <c r="P107" s="36"/>
    </row>
    <row r="108" spans="2:16" ht="15.75">
      <c r="B108" s="553"/>
      <c r="C108" s="36"/>
      <c r="D108" s="36"/>
      <c r="E108" s="36"/>
      <c r="F108" s="109"/>
      <c r="G108" s="36"/>
      <c r="H108" s="36"/>
      <c r="I108" s="36"/>
      <c r="J108" s="36"/>
      <c r="K108" s="36"/>
      <c r="L108" s="36"/>
      <c r="M108" s="36"/>
      <c r="N108" s="36"/>
      <c r="O108" s="36"/>
      <c r="P108" s="36"/>
    </row>
    <row r="109" spans="2:16" ht="15.75">
      <c r="B109" s="553"/>
      <c r="C109" s="36"/>
      <c r="D109" s="36"/>
      <c r="E109" s="36"/>
      <c r="F109" s="109"/>
      <c r="G109" s="36"/>
      <c r="H109" s="36"/>
      <c r="I109" s="36"/>
      <c r="J109" s="36"/>
      <c r="K109" s="36"/>
      <c r="L109" s="36"/>
      <c r="M109" s="36"/>
      <c r="N109" s="36"/>
      <c r="O109" s="36"/>
      <c r="P109" s="36"/>
    </row>
    <row r="110" spans="2:16" ht="15.75">
      <c r="B110" s="36"/>
      <c r="C110" s="36"/>
      <c r="D110" s="36"/>
      <c r="E110" s="36"/>
      <c r="F110" s="109"/>
      <c r="G110" s="36"/>
      <c r="H110" s="36"/>
      <c r="I110" s="36"/>
      <c r="J110" s="36"/>
      <c r="K110" s="36"/>
      <c r="L110" s="36"/>
      <c r="M110" s="36"/>
      <c r="N110" s="36"/>
      <c r="O110" s="36"/>
      <c r="P110" s="36"/>
    </row>
    <row r="111" spans="2:16" ht="15.75">
      <c r="B111" s="36"/>
      <c r="C111" s="36"/>
      <c r="D111" s="36"/>
      <c r="E111" s="36"/>
      <c r="F111" s="109"/>
      <c r="G111" s="36"/>
      <c r="H111" s="36"/>
      <c r="I111" s="36"/>
      <c r="J111" s="36"/>
      <c r="K111" s="36"/>
      <c r="L111" s="36"/>
      <c r="M111" s="36"/>
      <c r="N111" s="36"/>
      <c r="O111" s="36"/>
      <c r="P111" s="36"/>
    </row>
    <row r="112" spans="2:16" ht="15.75">
      <c r="B112" s="36"/>
      <c r="C112" s="36"/>
      <c r="D112" s="36"/>
      <c r="E112" s="36"/>
      <c r="F112" s="109"/>
      <c r="G112" s="36"/>
      <c r="H112" s="36"/>
      <c r="I112" s="36"/>
      <c r="J112" s="36"/>
      <c r="K112" s="36"/>
      <c r="L112" s="36"/>
      <c r="M112" s="36"/>
      <c r="N112" s="36"/>
      <c r="O112" s="36"/>
      <c r="P112" s="36"/>
    </row>
    <row r="113" spans="2:16" ht="15.75">
      <c r="B113" s="36"/>
      <c r="C113" s="36"/>
      <c r="D113" s="36"/>
      <c r="E113" s="36"/>
      <c r="F113" s="109"/>
      <c r="G113" s="36"/>
      <c r="H113" s="36"/>
      <c r="I113" s="36"/>
      <c r="J113" s="36"/>
      <c r="K113" s="36"/>
      <c r="L113" s="36"/>
      <c r="M113" s="36"/>
      <c r="N113" s="36"/>
      <c r="O113" s="36"/>
      <c r="P113" s="36"/>
    </row>
    <row r="114" spans="2:16" ht="15.75">
      <c r="B114" s="36"/>
      <c r="C114" s="36"/>
      <c r="D114" s="36"/>
      <c r="E114" s="36"/>
      <c r="F114" s="109"/>
      <c r="G114" s="36"/>
      <c r="H114" s="36"/>
      <c r="I114" s="36"/>
      <c r="J114" s="36"/>
      <c r="K114" s="36"/>
      <c r="L114" s="36"/>
      <c r="M114" s="36"/>
      <c r="N114" s="36"/>
      <c r="O114" s="36"/>
      <c r="P114" s="36"/>
    </row>
    <row r="115" spans="2:16" ht="15.75">
      <c r="B115" s="36"/>
      <c r="C115" s="36"/>
      <c r="D115" s="36"/>
      <c r="E115" s="36"/>
      <c r="F115" s="109"/>
      <c r="G115" s="36"/>
      <c r="H115" s="36"/>
      <c r="I115" s="36"/>
      <c r="J115" s="36"/>
      <c r="K115" s="36"/>
      <c r="L115" s="36"/>
      <c r="M115" s="36"/>
      <c r="N115" s="36"/>
      <c r="O115" s="36"/>
      <c r="P115" s="36"/>
    </row>
    <row r="116" spans="2:16" ht="15.75">
      <c r="B116" s="36"/>
      <c r="C116" s="36"/>
      <c r="D116" s="36"/>
      <c r="E116" s="36"/>
      <c r="F116" s="109"/>
      <c r="G116" s="36"/>
      <c r="H116" s="36"/>
      <c r="I116" s="36"/>
      <c r="J116" s="36"/>
      <c r="K116" s="36"/>
      <c r="L116" s="36"/>
      <c r="M116" s="36"/>
      <c r="N116" s="36"/>
      <c r="O116" s="36"/>
      <c r="P116" s="36"/>
    </row>
    <row r="117" spans="2:16" ht="15.75">
      <c r="B117" s="36"/>
      <c r="C117" s="36"/>
      <c r="D117" s="36"/>
      <c r="E117" s="36"/>
      <c r="F117" s="109"/>
      <c r="G117" s="36"/>
      <c r="H117" s="36"/>
      <c r="I117" s="36"/>
      <c r="J117" s="36"/>
      <c r="K117" s="36"/>
      <c r="L117" s="36"/>
      <c r="M117" s="36"/>
      <c r="N117" s="36"/>
      <c r="O117" s="36"/>
      <c r="P117" s="36"/>
    </row>
    <row r="118" spans="2:16" ht="15.75">
      <c r="B118" s="36"/>
      <c r="C118" s="36"/>
      <c r="D118" s="36"/>
      <c r="E118" s="36"/>
      <c r="F118" s="109"/>
      <c r="G118" s="36"/>
      <c r="H118" s="36"/>
      <c r="I118" s="36"/>
      <c r="J118" s="36"/>
      <c r="K118" s="36"/>
      <c r="L118" s="36"/>
      <c r="M118" s="36"/>
      <c r="N118" s="36"/>
      <c r="O118" s="36"/>
      <c r="P118" s="36"/>
    </row>
    <row r="119" spans="2:16" ht="15.75">
      <c r="B119" s="36"/>
      <c r="C119" s="36"/>
      <c r="D119" s="36"/>
      <c r="E119" s="36"/>
      <c r="F119" s="109"/>
      <c r="G119" s="36"/>
      <c r="H119" s="36"/>
      <c r="I119" s="36"/>
      <c r="J119" s="36"/>
      <c r="K119" s="36"/>
      <c r="L119" s="36"/>
      <c r="M119" s="36"/>
      <c r="N119" s="36"/>
      <c r="O119" s="36"/>
      <c r="P119" s="36"/>
    </row>
    <row r="120" spans="2:16" ht="15.75">
      <c r="B120" s="36"/>
      <c r="C120" s="36"/>
      <c r="D120" s="36"/>
      <c r="E120" s="36"/>
      <c r="F120" s="109"/>
      <c r="G120" s="36"/>
      <c r="H120" s="36"/>
      <c r="I120" s="36"/>
      <c r="J120" s="36"/>
      <c r="K120" s="36"/>
      <c r="L120" s="36"/>
      <c r="M120" s="36"/>
      <c r="N120" s="36"/>
      <c r="O120" s="36"/>
      <c r="P120" s="36"/>
    </row>
    <row r="121" spans="2:16" ht="15.75">
      <c r="B121" s="36"/>
      <c r="C121" s="36"/>
      <c r="D121" s="36"/>
      <c r="E121" s="36"/>
      <c r="F121" s="109"/>
      <c r="G121" s="36"/>
      <c r="H121" s="36"/>
      <c r="I121" s="36"/>
      <c r="J121" s="36"/>
      <c r="K121" s="36"/>
      <c r="L121" s="36"/>
      <c r="M121" s="36"/>
      <c r="N121" s="36"/>
      <c r="O121" s="36"/>
      <c r="P121" s="36"/>
    </row>
  </sheetData>
  <sheetProtection/>
  <mergeCells count="4">
    <mergeCell ref="F20:N21"/>
    <mergeCell ref="K86:K87"/>
    <mergeCell ref="B98:B99"/>
    <mergeCell ref="B108:B109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zoomScalePageLayoutView="0" workbookViewId="0" topLeftCell="A1">
      <selection activeCell="C52" sqref="C52"/>
    </sheetView>
  </sheetViews>
  <sheetFormatPr defaultColWidth="9.140625" defaultRowHeight="12.75"/>
  <cols>
    <col min="3" max="3" width="12.00390625" style="0" customWidth="1"/>
    <col min="4" max="4" width="5.00390625" style="0" customWidth="1"/>
    <col min="5" max="5" width="6.8515625" style="0" customWidth="1"/>
    <col min="6" max="6" width="7.421875" style="0" customWidth="1"/>
    <col min="7" max="7" width="6.8515625" style="0" customWidth="1"/>
    <col min="8" max="8" width="6.7109375" style="0" customWidth="1"/>
    <col min="9" max="9" width="6.57421875" style="0" customWidth="1"/>
    <col min="10" max="10" width="6.7109375" style="0" customWidth="1"/>
    <col min="11" max="11" width="6.140625" style="0" customWidth="1"/>
    <col min="12" max="12" width="7.00390625" style="0" customWidth="1"/>
    <col min="13" max="13" width="6.421875" style="0" customWidth="1"/>
    <col min="14" max="14" width="6.7109375" style="0" customWidth="1"/>
    <col min="15" max="15" width="2.7109375" style="166" customWidth="1"/>
    <col min="16" max="16" width="5.57421875" style="166" customWidth="1"/>
    <col min="17" max="17" width="7.7109375" style="166" customWidth="1"/>
    <col min="18" max="18" width="7.00390625" style="166" customWidth="1"/>
    <col min="19" max="19" width="7.28125" style="0" customWidth="1"/>
    <col min="20" max="21" width="7.421875" style="0" customWidth="1"/>
    <col min="22" max="22" width="7.28125" style="0" customWidth="1"/>
    <col min="23" max="23" width="7.140625" style="0" customWidth="1"/>
    <col min="24" max="24" width="6.28125" style="0" customWidth="1"/>
    <col min="25" max="25" width="7.7109375" style="0" customWidth="1"/>
    <col min="26" max="26" width="7.57421875" style="0" customWidth="1"/>
  </cols>
  <sheetData>
    <row r="1" spans="1:14" ht="11.25" customHeight="1">
      <c r="A1" s="166"/>
      <c r="B1" s="166"/>
      <c r="C1" s="166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26" ht="11.25" customHeight="1" thickBot="1">
      <c r="A2" s="166"/>
      <c r="B2" s="166"/>
      <c r="C2" s="166"/>
      <c r="D2" s="169" t="s">
        <v>111</v>
      </c>
      <c r="E2" s="169" t="s">
        <v>125</v>
      </c>
      <c r="F2" s="169" t="s">
        <v>126</v>
      </c>
      <c r="G2" s="169" t="s">
        <v>127</v>
      </c>
      <c r="H2" s="169" t="s">
        <v>128</v>
      </c>
      <c r="I2" s="169" t="s">
        <v>129</v>
      </c>
      <c r="J2" s="169" t="s">
        <v>130</v>
      </c>
      <c r="K2" s="169" t="s">
        <v>131</v>
      </c>
      <c r="L2" s="169" t="s">
        <v>132</v>
      </c>
      <c r="M2" s="169" t="s">
        <v>133</v>
      </c>
      <c r="N2" s="169" t="s">
        <v>134</v>
      </c>
      <c r="P2" s="170" t="s">
        <v>111</v>
      </c>
      <c r="Q2" s="170" t="s">
        <v>125</v>
      </c>
      <c r="R2" s="170" t="s">
        <v>126</v>
      </c>
      <c r="S2" s="170" t="s">
        <v>127</v>
      </c>
      <c r="T2" s="170" t="s">
        <v>128</v>
      </c>
      <c r="U2" s="170" t="s">
        <v>129</v>
      </c>
      <c r="V2" s="170" t="s">
        <v>130</v>
      </c>
      <c r="W2" s="170" t="s">
        <v>131</v>
      </c>
      <c r="X2" s="170" t="s">
        <v>132</v>
      </c>
      <c r="Y2" s="170" t="s">
        <v>133</v>
      </c>
      <c r="Z2" s="170" t="s">
        <v>134</v>
      </c>
    </row>
    <row r="3" spans="1:26" ht="12.75">
      <c r="A3" s="167" t="s">
        <v>137</v>
      </c>
      <c r="B3" s="166"/>
      <c r="C3" s="166"/>
      <c r="D3" s="171">
        <v>-3.5</v>
      </c>
      <c r="E3" s="165">
        <f>NORMDIST(D3+0,0,1,TRUE)</f>
        <v>0.00023262907903420782</v>
      </c>
      <c r="F3" s="165">
        <f>NORMDIST(D3+0.1,0,1,TRUE)</f>
        <v>0.00033692926567652215</v>
      </c>
      <c r="G3" s="165">
        <f>NORMDIST(D3+0.02,0,1,TRUE)</f>
        <v>0.00025070689128126045</v>
      </c>
      <c r="H3" s="165">
        <f>NORMDIST(D3+0.03,0,1,TRUE)</f>
        <v>0.00026022918242696313</v>
      </c>
      <c r="I3" s="165">
        <f>NORMDIST(D3+0.04,0,1,TRUE)</f>
        <v>0.00027008769396363874</v>
      </c>
      <c r="J3" s="165">
        <f>NORMDIST(D3+0.05,0,1,TRUE)</f>
        <v>0.0002802932768166677</v>
      </c>
      <c r="K3" s="165">
        <f>NORMDIST(D3+0.06,0,1,TRUE)</f>
        <v>0.00029085709329146336</v>
      </c>
      <c r="L3" s="165">
        <f>NORMDIST(D3+0.07,0,1,TRUE)</f>
        <v>0.00030179062460800044</v>
      </c>
      <c r="M3" s="165">
        <f>NORMDIST(D3+0.08,0,1,TRUE)</f>
        <v>0.000313105678581449</v>
      </c>
      <c r="N3" s="165">
        <f>NORMDIST(D3+0.09,0,1,TRUE)</f>
        <v>0.0003248143974194928</v>
      </c>
      <c r="P3" s="171">
        <v>0</v>
      </c>
      <c r="Q3" s="165">
        <v>0.5</v>
      </c>
      <c r="R3" s="165">
        <v>0.5039893563146316</v>
      </c>
      <c r="S3" s="165">
        <v>0.5079783137169019</v>
      </c>
      <c r="T3" s="165">
        <v>0.5119664734141126</v>
      </c>
      <c r="U3" s="165">
        <v>0.5159534368528308</v>
      </c>
      <c r="V3" s="165">
        <v>0.5199388058383725</v>
      </c>
      <c r="W3" s="165">
        <v>0.5239221826541068</v>
      </c>
      <c r="X3" s="165">
        <v>0.5279031701805211</v>
      </c>
      <c r="Y3" s="165">
        <v>0.5318813720139873</v>
      </c>
      <c r="Z3" s="165">
        <v>0.5358563925851721</v>
      </c>
    </row>
    <row r="4" spans="1:26" ht="12.75">
      <c r="A4" s="167" t="s">
        <v>138</v>
      </c>
      <c r="B4" s="166"/>
      <c r="C4" s="166"/>
      <c r="D4" s="172">
        <v>-3.4</v>
      </c>
      <c r="E4" s="165">
        <v>0.00033692926567652215</v>
      </c>
      <c r="F4" s="165">
        <v>0.0003494631183392771</v>
      </c>
      <c r="G4" s="165">
        <v>0.000362429149032506</v>
      </c>
      <c r="H4" s="165">
        <v>0.00037584091839959477</v>
      </c>
      <c r="I4" s="165">
        <v>0.00038971236258189546</v>
      </c>
      <c r="J4" s="165">
        <v>0.0004040578018642549</v>
      </c>
      <c r="K4" s="165">
        <v>0.00041889194944966235</v>
      </c>
      <c r="L4" s="165">
        <v>0.00043422992038211206</v>
      </c>
      <c r="M4" s="165">
        <v>0.00045008724059236727</v>
      </c>
      <c r="N4" s="165">
        <v>0.0004664798561082595</v>
      </c>
      <c r="P4" s="171">
        <v>0.1</v>
      </c>
      <c r="Q4" s="165">
        <v>0.539827837277029</v>
      </c>
      <c r="R4" s="165">
        <v>0.5437953125423168</v>
      </c>
      <c r="S4" s="165">
        <v>0.5477584260205839</v>
      </c>
      <c r="T4" s="165">
        <v>0.5517167866545611</v>
      </c>
      <c r="U4" s="165">
        <v>0.5556700048059064</v>
      </c>
      <c r="V4" s="165">
        <v>0.5596176923702425</v>
      </c>
      <c r="W4" s="165">
        <v>0.5635594628914329</v>
      </c>
      <c r="X4" s="165">
        <v>0.5674949316750384</v>
      </c>
      <c r="Y4" s="165">
        <v>0.5714237159009007</v>
      </c>
      <c r="Z4" s="165">
        <v>0.5753454347347955</v>
      </c>
    </row>
    <row r="5" spans="1:26" ht="12.75">
      <c r="A5" s="166"/>
      <c r="B5" s="166"/>
      <c r="C5" s="166"/>
      <c r="D5" s="171">
        <v>-3.3</v>
      </c>
      <c r="E5" s="165">
        <v>0.0004834241423842256</v>
      </c>
      <c r="F5" s="165">
        <v>0.0005009369137858322</v>
      </c>
      <c r="G5" s="165">
        <v>0.0005190354332076375</v>
      </c>
      <c r="H5" s="165">
        <v>0.0005377374218296094</v>
      </c>
      <c r="I5" s="165">
        <v>0.0005570610690239786</v>
      </c>
      <c r="J5" s="165">
        <v>0.0005770250423907664</v>
      </c>
      <c r="K5" s="165">
        <v>0.0005976484979343111</v>
      </c>
      <c r="L5" s="165">
        <v>0.000618951090387343</v>
      </c>
      <c r="M5" s="165">
        <v>0.0006409529836601813</v>
      </c>
      <c r="N5" s="165">
        <v>0.0006636748614397003</v>
      </c>
      <c r="P5" s="171">
        <v>0.2</v>
      </c>
      <c r="Q5" s="165">
        <v>0.579259709439103</v>
      </c>
      <c r="R5" s="165">
        <v>0.5831661634824423</v>
      </c>
      <c r="S5" s="165">
        <v>0.5870644226482147</v>
      </c>
      <c r="T5" s="165">
        <v>0.5909541151420059</v>
      </c>
      <c r="U5" s="165">
        <v>0.5948348716977958</v>
      </c>
      <c r="V5" s="165">
        <v>0.5987063256829237</v>
      </c>
      <c r="W5" s="165">
        <v>0.6025681132017605</v>
      </c>
      <c r="X5" s="165">
        <v>0.6064198731980395</v>
      </c>
      <c r="Y5" s="165">
        <v>0.6102612475557972</v>
      </c>
      <c r="Z5" s="165">
        <v>0.6140918811988774</v>
      </c>
    </row>
    <row r="6" spans="1:26" ht="12.75">
      <c r="A6" s="166"/>
      <c r="B6" s="166"/>
      <c r="C6" s="166"/>
      <c r="D6" s="171">
        <v>-3.1999999999999997</v>
      </c>
      <c r="E6" s="165">
        <v>0.0006871379379151943</v>
      </c>
      <c r="F6" s="165">
        <v>0.000711363968645129</v>
      </c>
      <c r="G6" s="165">
        <v>0.000736375261554012</v>
      </c>
      <c r="H6" s="165">
        <v>0.0007621946880674857</v>
      </c>
      <c r="I6" s="165">
        <v>0.0007888456943758726</v>
      </c>
      <c r="J6" s="165">
        <v>0.0008163523128286165</v>
      </c>
      <c r="K6" s="165">
        <v>0.0008447391734591747</v>
      </c>
      <c r="L6" s="165">
        <v>0.0008740315156317013</v>
      </c>
      <c r="M6" s="165">
        <v>0.0009042551998221793</v>
      </c>
      <c r="N6" s="165">
        <v>0.0009354367195137936</v>
      </c>
      <c r="P6" s="171">
        <v>0.30000000000000004</v>
      </c>
      <c r="Q6" s="165">
        <v>0.6179114221889527</v>
      </c>
      <c r="R6" s="165">
        <v>0.6217195218220193</v>
      </c>
      <c r="S6" s="165">
        <v>0.6255158347233201</v>
      </c>
      <c r="T6" s="165">
        <v>0.6293000189406536</v>
      </c>
      <c r="U6" s="165">
        <v>0.6330717360360281</v>
      </c>
      <c r="V6" s="165">
        <v>0.6368306511756191</v>
      </c>
      <c r="W6" s="165">
        <v>0.6405764332179913</v>
      </c>
      <c r="X6" s="165">
        <v>0.6443087548005468</v>
      </c>
      <c r="Y6" s="165">
        <v>0.6480272924241628</v>
      </c>
      <c r="Z6" s="165">
        <v>0.6517317265359824</v>
      </c>
    </row>
    <row r="7" spans="1:26" ht="12.75">
      <c r="A7" s="166"/>
      <c r="B7" s="166"/>
      <c r="C7" s="166"/>
      <c r="D7" s="171">
        <v>-3.0999999999999996</v>
      </c>
      <c r="E7" s="165">
        <v>0.0009676032132187595</v>
      </c>
      <c r="F7" s="165">
        <v>0.0010007824766140594</v>
      </c>
      <c r="G7" s="165">
        <v>0.0010350029748034117</v>
      </c>
      <c r="H7" s="165">
        <v>0.0010702938546788276</v>
      </c>
      <c r="I7" s="165">
        <v>0.0011066849574090654</v>
      </c>
      <c r="J7" s="165">
        <v>0.001144206831022787</v>
      </c>
      <c r="K7" s="165">
        <v>0.0011828907431041813</v>
      </c>
      <c r="L7" s="165">
        <v>0.0012227686935921689</v>
      </c>
      <c r="M7" s="165">
        <v>0.001263873427672424</v>
      </c>
      <c r="N7" s="165">
        <v>0.0013062384487694256</v>
      </c>
      <c r="P7" s="171">
        <v>0.4</v>
      </c>
      <c r="Q7" s="165">
        <v>0.6554217416103242</v>
      </c>
      <c r="R7" s="165">
        <v>0.6590970262276774</v>
      </c>
      <c r="S7" s="165">
        <v>0.6627572731517505</v>
      </c>
      <c r="T7" s="165">
        <v>0.6664021794045423</v>
      </c>
      <c r="U7" s="165">
        <v>0.6700314463394064</v>
      </c>
      <c r="V7" s="165">
        <v>0.6736447797120799</v>
      </c>
      <c r="W7" s="165">
        <v>0.6772418897496522</v>
      </c>
      <c r="X7" s="165">
        <v>0.6808224912174442</v>
      </c>
      <c r="Y7" s="165">
        <v>0.6843863034837774</v>
      </c>
      <c r="Z7" s="165">
        <v>0.6879330505826095</v>
      </c>
    </row>
    <row r="8" spans="1:26" ht="12.75" customHeight="1" thickBot="1">
      <c r="A8" s="166"/>
      <c r="B8" s="166"/>
      <c r="C8" s="166"/>
      <c r="D8" s="170" t="s">
        <v>111</v>
      </c>
      <c r="E8" s="170" t="s">
        <v>125</v>
      </c>
      <c r="F8" s="170" t="s">
        <v>126</v>
      </c>
      <c r="G8" s="170" t="s">
        <v>127</v>
      </c>
      <c r="H8" s="170" t="s">
        <v>128</v>
      </c>
      <c r="I8" s="170" t="s">
        <v>129</v>
      </c>
      <c r="J8" s="170" t="s">
        <v>130</v>
      </c>
      <c r="K8" s="170" t="s">
        <v>131</v>
      </c>
      <c r="L8" s="170" t="s">
        <v>132</v>
      </c>
      <c r="M8" s="170" t="s">
        <v>133</v>
      </c>
      <c r="N8" s="170" t="s">
        <v>134</v>
      </c>
      <c r="P8" s="171">
        <v>0.5</v>
      </c>
      <c r="Q8" s="165">
        <v>0.6914624612740131</v>
      </c>
      <c r="R8" s="165">
        <v>0.6949742691024805</v>
      </c>
      <c r="S8" s="165">
        <v>0.6984682124530338</v>
      </c>
      <c r="T8" s="165">
        <v>0.7019440346051236</v>
      </c>
      <c r="U8" s="165">
        <v>0.7054014837843019</v>
      </c>
      <c r="V8" s="165">
        <v>0.7088403132116536</v>
      </c>
      <c r="W8" s="165">
        <v>0.712260281150973</v>
      </c>
      <c r="X8" s="165">
        <v>0.7156611509536759</v>
      </c>
      <c r="Y8" s="165">
        <v>0.7190426911014356</v>
      </c>
      <c r="Z8" s="165">
        <v>0.7224046752465351</v>
      </c>
    </row>
    <row r="9" spans="1:26" ht="12.75">
      <c r="A9" s="166"/>
      <c r="B9" s="166"/>
      <c r="C9" s="166"/>
      <c r="D9" s="171">
        <v>-2.9999999999999996</v>
      </c>
      <c r="E9" s="165">
        <v>0.0013498980316301035</v>
      </c>
      <c r="F9" s="165">
        <v>0.0013948872354925257</v>
      </c>
      <c r="G9" s="165">
        <v>0.0014412419173395197</v>
      </c>
      <c r="H9" s="165">
        <v>0.0014889987452373354</v>
      </c>
      <c r="I9" s="165">
        <v>0.001538195211738258</v>
      </c>
      <c r="J9" s="165">
        <v>0.0015888696473649322</v>
      </c>
      <c r="K9" s="165">
        <v>0.0016410612341568598</v>
      </c>
      <c r="L9" s="165">
        <v>0.001694810019277293</v>
      </c>
      <c r="M9" s="165">
        <v>0.0017501569286764163</v>
      </c>
      <c r="N9" s="165">
        <v>0.0018071437808067081</v>
      </c>
      <c r="P9" s="171">
        <v>0.6</v>
      </c>
      <c r="Q9" s="165">
        <v>0.7257468822499263</v>
      </c>
      <c r="R9" s="165">
        <v>0.7290690962169943</v>
      </c>
      <c r="S9" s="165">
        <v>0.732371106531017</v>
      </c>
      <c r="T9" s="165">
        <v>0.7356527078843225</v>
      </c>
      <c r="U9" s="165">
        <v>0.7389137003071384</v>
      </c>
      <c r="V9" s="165">
        <v>0.7421538891941353</v>
      </c>
      <c r="W9" s="165">
        <v>0.7453730853286639</v>
      </c>
      <c r="X9" s="165">
        <v>0.7485711049046899</v>
      </c>
      <c r="Y9" s="165">
        <v>0.7517477695464294</v>
      </c>
      <c r="Z9" s="165">
        <v>0.7549029063256906</v>
      </c>
    </row>
    <row r="10" spans="1:26" ht="12.75">
      <c r="A10" s="166"/>
      <c r="B10" s="166"/>
      <c r="C10" s="166"/>
      <c r="D10" s="171">
        <v>-2.8999999999999995</v>
      </c>
      <c r="E10" s="165">
        <v>0.0018658133003837118</v>
      </c>
      <c r="F10" s="165">
        <v>0.0019262091321876618</v>
      </c>
      <c r="G10" s="165">
        <v>0.0019883758548939756</v>
      </c>
      <c r="H10" s="165">
        <v>0.002052358994939829</v>
      </c>
      <c r="I10" s="165">
        <v>0.0021182050404047192</v>
      </c>
      <c r="J10" s="165">
        <v>0.0021859614549133433</v>
      </c>
      <c r="K10" s="165">
        <v>0.002255676691542252</v>
      </c>
      <c r="L10" s="165">
        <v>0.0023274002067312782</v>
      </c>
      <c r="M10" s="165">
        <v>0.0024011824741893006</v>
      </c>
      <c r="N10" s="165">
        <v>0.002477074998785911</v>
      </c>
      <c r="P10" s="171">
        <v>0.7</v>
      </c>
      <c r="Q10" s="165">
        <v>0.758036347776927</v>
      </c>
      <c r="R10" s="165">
        <v>0.7611479319100133</v>
      </c>
      <c r="S10" s="165">
        <v>0.7642375022207488</v>
      </c>
      <c r="T10" s="165">
        <v>0.7673049076991025</v>
      </c>
      <c r="U10" s="165">
        <v>0.7703500028352094</v>
      </c>
      <c r="V10" s="165">
        <v>0.7733726476231317</v>
      </c>
      <c r="W10" s="165">
        <v>0.7763727075624005</v>
      </c>
      <c r="X10" s="165">
        <v>0.7793500536573503</v>
      </c>
      <c r="Y10" s="165">
        <v>0.7823045624142668</v>
      </c>
      <c r="Z10" s="165">
        <v>0.7852361158363629</v>
      </c>
    </row>
    <row r="11" spans="1:26" ht="12.75">
      <c r="A11" s="166"/>
      <c r="B11" s="166"/>
      <c r="C11" s="166"/>
      <c r="D11" s="171">
        <v>-2.7999999999999994</v>
      </c>
      <c r="E11" s="165">
        <v>0.0025551303304277573</v>
      </c>
      <c r="F11" s="165">
        <v>0.0026354020779049137</v>
      </c>
      <c r="G11" s="165">
        <v>0.0027179449227014985</v>
      </c>
      <c r="H11" s="165">
        <v>0.002802814632765105</v>
      </c>
      <c r="I11" s="165">
        <v>0.00289006807622616</v>
      </c>
      <c r="J11" s="165">
        <v>0.0029797632350546666</v>
      </c>
      <c r="K11" s="165">
        <v>0.003071959218650555</v>
      </c>
      <c r="L11" s="165">
        <v>0.0031667162773578728</v>
      </c>
      <c r="M11" s="165">
        <v>0.003264095815891266</v>
      </c>
      <c r="N11" s="165">
        <v>0.0033641604066692032</v>
      </c>
      <c r="P11" s="171">
        <v>0.7999999999999999</v>
      </c>
      <c r="Q11" s="165">
        <v>0.7881446014166031</v>
      </c>
      <c r="R11" s="165">
        <v>0.7910299121283983</v>
      </c>
      <c r="S11" s="165">
        <v>0.7938919464141869</v>
      </c>
      <c r="T11" s="165">
        <v>0.7967306081719315</v>
      </c>
      <c r="U11" s="165">
        <v>0.7995458067395502</v>
      </c>
      <c r="V11" s="165">
        <v>0.8023374568773076</v>
      </c>
      <c r="W11" s="165">
        <v>0.8051054787481915</v>
      </c>
      <c r="X11" s="165">
        <v>0.8078497978963038</v>
      </c>
      <c r="Y11" s="165">
        <v>0.8105703452232879</v>
      </c>
      <c r="Z11" s="165">
        <v>0.8132670569628273</v>
      </c>
    </row>
    <row r="12" spans="1:26" ht="12.75">
      <c r="A12" s="166"/>
      <c r="B12" s="166"/>
      <c r="C12" s="166"/>
      <c r="D12" s="171">
        <v>-2.6999999999999993</v>
      </c>
      <c r="E12" s="165">
        <v>0.0034669738030406183</v>
      </c>
      <c r="F12" s="165">
        <v>0.0035726009523997515</v>
      </c>
      <c r="G12" s="165">
        <v>0.0036811080091747606</v>
      </c>
      <c r="H12" s="165">
        <v>0.0037925623476854353</v>
      </c>
      <c r="I12" s="165">
        <v>0.003907032574852809</v>
      </c>
      <c r="J12" s="165">
        <v>0.004024588542758556</v>
      </c>
      <c r="K12" s="165">
        <v>0.004145301361035747</v>
      </c>
      <c r="L12" s="165">
        <v>0.004269243409089185</v>
      </c>
      <c r="M12" s="165">
        <v>0.004396488348120897</v>
      </c>
      <c r="N12" s="165">
        <v>0.004527111132967221</v>
      </c>
      <c r="P12" s="171">
        <v>0.8999999999999999</v>
      </c>
      <c r="Q12" s="165">
        <v>0.8159398746532405</v>
      </c>
      <c r="R12" s="165">
        <v>0.8185887451082027</v>
      </c>
      <c r="S12" s="165">
        <v>0.8212136203856282</v>
      </c>
      <c r="T12" s="165">
        <v>0.823814457754742</v>
      </c>
      <c r="U12" s="165">
        <v>0.8263912196613753</v>
      </c>
      <c r="V12" s="165">
        <v>0.8289438736915181</v>
      </c>
      <c r="W12" s="165">
        <v>0.8314723925331622</v>
      </c>
      <c r="X12" s="165">
        <v>0.8339767539364704</v>
      </c>
      <c r="Y12" s="165">
        <v>0.8364569406723075</v>
      </c>
      <c r="Z12" s="165">
        <v>0.838912940489169</v>
      </c>
    </row>
    <row r="13" spans="1:26" ht="13.5" thickBot="1">
      <c r="A13" s="167" t="s">
        <v>136</v>
      </c>
      <c r="B13" s="166"/>
      <c r="C13" s="166"/>
      <c r="D13" s="171">
        <v>-2.599999999999999</v>
      </c>
      <c r="E13" s="165">
        <v>0.004661188023718843</v>
      </c>
      <c r="F13" s="165">
        <v>0.004798796597126342</v>
      </c>
      <c r="G13" s="165">
        <v>0.00494001575777081</v>
      </c>
      <c r="H13" s="165">
        <v>0.005084925748991109</v>
      </c>
      <c r="I13" s="165">
        <v>0.00523360816355567</v>
      </c>
      <c r="J13" s="165">
        <v>0.005386145954066723</v>
      </c>
      <c r="K13" s="165">
        <v>0.005542623443082539</v>
      </c>
      <c r="L13" s="165">
        <v>0.00570312633295067</v>
      </c>
      <c r="M13" s="165">
        <v>0.005867741715332775</v>
      </c>
      <c r="N13" s="165">
        <v>0.006036558080412702</v>
      </c>
      <c r="P13" s="170" t="s">
        <v>111</v>
      </c>
      <c r="Q13" s="170" t="s">
        <v>125</v>
      </c>
      <c r="R13" s="170" t="s">
        <v>126</v>
      </c>
      <c r="S13" s="170" t="s">
        <v>127</v>
      </c>
      <c r="T13" s="170" t="s">
        <v>128</v>
      </c>
      <c r="U13" s="170" t="s">
        <v>129</v>
      </c>
      <c r="V13" s="170" t="s">
        <v>130</v>
      </c>
      <c r="W13" s="170" t="s">
        <v>131</v>
      </c>
      <c r="X13" s="170" t="s">
        <v>132</v>
      </c>
      <c r="Y13" s="170" t="s">
        <v>133</v>
      </c>
      <c r="Z13" s="170" t="s">
        <v>134</v>
      </c>
    </row>
    <row r="14" spans="1:26" ht="12.75">
      <c r="A14" s="167" t="s">
        <v>139</v>
      </c>
      <c r="B14" s="166"/>
      <c r="C14" s="166"/>
      <c r="D14" s="171">
        <v>-2.499999999999999</v>
      </c>
      <c r="E14" s="165">
        <v>0.006209665325776048</v>
      </c>
      <c r="F14" s="165">
        <v>0.006387154764943448</v>
      </c>
      <c r="G14" s="165">
        <v>0.006569119135546697</v>
      </c>
      <c r="H14" s="165">
        <v>0.0067556526071406164</v>
      </c>
      <c r="I14" s="165">
        <v>0.006946850788624115</v>
      </c>
      <c r="J14" s="165">
        <v>0.007142810735271454</v>
      </c>
      <c r="K14" s="165">
        <v>0.007343630955348179</v>
      </c>
      <c r="L14" s="165">
        <v>0.007549411416309049</v>
      </c>
      <c r="M14" s="165">
        <v>0.007760253550553653</v>
      </c>
      <c r="N14" s="165">
        <v>0.007976260260733614</v>
      </c>
      <c r="P14" s="171">
        <v>0.9999999999999999</v>
      </c>
      <c r="Q14" s="165">
        <v>0.8413447460685429</v>
      </c>
      <c r="R14" s="165">
        <v>0.8437523549787453</v>
      </c>
      <c r="S14" s="165">
        <v>0.8461357696272651</v>
      </c>
      <c r="T14" s="165">
        <v>0.8484949972116562</v>
      </c>
      <c r="U14" s="165">
        <v>0.8508300496690184</v>
      </c>
      <c r="V14" s="165">
        <v>0.853140943624104</v>
      </c>
      <c r="W14" s="165">
        <v>0.8554277003360904</v>
      </c>
      <c r="X14" s="165">
        <v>0.8576903456440607</v>
      </c>
      <c r="Y14" s="165">
        <v>0.8599289099112308</v>
      </c>
      <c r="Z14" s="165">
        <v>0.8621434279679644</v>
      </c>
    </row>
    <row r="15" spans="1:26" ht="12.75">
      <c r="A15" s="166"/>
      <c r="B15" s="166"/>
      <c r="C15" s="166"/>
      <c r="D15" s="171">
        <v>-2.399999999999999</v>
      </c>
      <c r="E15" s="165">
        <v>0.008197535924596044</v>
      </c>
      <c r="F15" s="165">
        <v>0.008424186399345612</v>
      </c>
      <c r="G15" s="165">
        <v>0.008656319025516668</v>
      </c>
      <c r="H15" s="165">
        <v>0.008894042630336774</v>
      </c>
      <c r="I15" s="165">
        <v>0.009137467530572652</v>
      </c>
      <c r="J15" s="165">
        <v>0.009386705534838558</v>
      </c>
      <c r="K15" s="165">
        <v>0.009641869945358428</v>
      </c>
      <c r="L15" s="165">
        <v>0.009903075559164254</v>
      </c>
      <c r="M15" s="165">
        <v>0.010170438668719695</v>
      </c>
      <c r="N15" s="165">
        <v>0.010444077061951162</v>
      </c>
      <c r="P15" s="171">
        <v>1.0999999999999999</v>
      </c>
      <c r="Q15" s="165">
        <v>0.8643339390536173</v>
      </c>
      <c r="R15" s="165">
        <v>0.8665004867572528</v>
      </c>
      <c r="S15" s="165">
        <v>0.8686431189572694</v>
      </c>
      <c r="T15" s="165">
        <v>0.8707618877599823</v>
      </c>
      <c r="U15" s="165">
        <v>0.8728568494372018</v>
      </c>
      <c r="V15" s="165">
        <v>0.8749280643628496</v>
      </c>
      <c r="W15" s="165">
        <v>0.8769755969486566</v>
      </c>
      <c r="X15" s="165">
        <v>0.8789995155789817</v>
      </c>
      <c r="Y15" s="165">
        <v>0.8809998925447993</v>
      </c>
      <c r="Z15" s="165">
        <v>0.8829768039768913</v>
      </c>
    </row>
    <row r="16" spans="1:26" ht="12.75">
      <c r="A16" s="166"/>
      <c r="B16" s="166"/>
      <c r="C16" s="166"/>
      <c r="D16" s="171">
        <v>-2.299999999999999</v>
      </c>
      <c r="E16" s="165">
        <v>0.010724110021675948</v>
      </c>
      <c r="F16" s="165">
        <v>0.011010658324411615</v>
      </c>
      <c r="G16" s="165">
        <v>0.011303844238552907</v>
      </c>
      <c r="H16" s="165">
        <v>0.011603791521903606</v>
      </c>
      <c r="I16" s="165">
        <v>0.011910625418547038</v>
      </c>
      <c r="J16" s="165">
        <v>0.012224472655044782</v>
      </c>
      <c r="K16" s="165">
        <v>0.012545461435946592</v>
      </c>
      <c r="L16" s="165">
        <v>0.012873721438601882</v>
      </c>
      <c r="M16" s="165">
        <v>0.013209383807256225</v>
      </c>
      <c r="N16" s="165">
        <v>0.013552581146419995</v>
      </c>
      <c r="P16" s="171">
        <v>1.2</v>
      </c>
      <c r="Q16" s="165">
        <v>0.8849303297782918</v>
      </c>
      <c r="R16" s="165">
        <v>0.8868605535560228</v>
      </c>
      <c r="S16" s="165">
        <v>0.8887675625521652</v>
      </c>
      <c r="T16" s="165">
        <v>0.8906514475743081</v>
      </c>
      <c r="U16" s="165">
        <v>0.8925123029254132</v>
      </c>
      <c r="V16" s="165">
        <v>0.8943502263331446</v>
      </c>
      <c r="W16" s="165">
        <v>0.8961653188786995</v>
      </c>
      <c r="X16" s="165">
        <v>0.8979576849251809</v>
      </c>
      <c r="Y16" s="165">
        <v>0.8997274320455579</v>
      </c>
      <c r="Z16" s="165">
        <v>0.9014746709502521</v>
      </c>
    </row>
    <row r="17" spans="1:26" ht="12.75">
      <c r="A17" s="166"/>
      <c r="B17" s="166"/>
      <c r="C17" s="166"/>
      <c r="D17" s="171">
        <v>-2.199999999999999</v>
      </c>
      <c r="E17" s="165">
        <v>0.013903447513498701</v>
      </c>
      <c r="F17" s="165">
        <v>0.014262118410668823</v>
      </c>
      <c r="G17" s="165">
        <v>0.01462873077598914</v>
      </c>
      <c r="H17" s="165">
        <v>0.015003422973732361</v>
      </c>
      <c r="I17" s="165">
        <v>0.015386334783925593</v>
      </c>
      <c r="J17" s="165">
        <v>0.015777607391090465</v>
      </c>
      <c r="K17" s="165">
        <v>0.01617738337216612</v>
      </c>
      <c r="L17" s="165">
        <v>0.016585806683605098</v>
      </c>
      <c r="M17" s="165">
        <v>0.01700302264763287</v>
      </c>
      <c r="N17" s="165">
        <v>0.01742917793765708</v>
      </c>
      <c r="P17" s="171">
        <v>1.3</v>
      </c>
      <c r="Q17" s="165">
        <v>0.9031995154143897</v>
      </c>
      <c r="R17" s="165">
        <v>0.904902082204761</v>
      </c>
      <c r="S17" s="165">
        <v>0.9065824910065281</v>
      </c>
      <c r="T17" s="165">
        <v>0.9082408643497192</v>
      </c>
      <c r="U17" s="165">
        <v>0.9098773275355475</v>
      </c>
      <c r="V17" s="165">
        <v>0.911492008562598</v>
      </c>
      <c r="W17" s="165">
        <v>0.913085038052915</v>
      </c>
      <c r="X17" s="165">
        <v>0.914656549178033</v>
      </c>
      <c r="Y17" s="165">
        <v>0.9162066775849859</v>
      </c>
      <c r="Z17" s="165">
        <v>0.917735561322331</v>
      </c>
    </row>
    <row r="18" spans="1:26" ht="12.75">
      <c r="A18" s="166"/>
      <c r="B18" s="166"/>
      <c r="C18" s="166"/>
      <c r="D18" s="171">
        <v>-2.0999999999999988</v>
      </c>
      <c r="E18" s="165">
        <v>0.017864420562816452</v>
      </c>
      <c r="F18" s="165">
        <v>0.018308899851658955</v>
      </c>
      <c r="G18" s="165">
        <v>0.018762766434937905</v>
      </c>
      <c r="H18" s="165">
        <v>0.019226172227517435</v>
      </c>
      <c r="I18" s="165">
        <v>0.019699270409377023</v>
      </c>
      <c r="J18" s="165">
        <v>0.02018221540570453</v>
      </c>
      <c r="K18" s="165">
        <v>0.020675162866070185</v>
      </c>
      <c r="L18" s="165">
        <v>0.02117826964267233</v>
      </c>
      <c r="M18" s="165">
        <v>0.021691693767647013</v>
      </c>
      <c r="N18" s="165">
        <v>0.022215594429431662</v>
      </c>
      <c r="P18" s="171">
        <v>1.4000000000000001</v>
      </c>
      <c r="Q18" s="165">
        <v>0.9192433407662289</v>
      </c>
      <c r="R18" s="165">
        <v>0.9207301585466074</v>
      </c>
      <c r="S18" s="165">
        <v>0.9221961594734536</v>
      </c>
      <c r="T18" s="165">
        <v>0.923641490463261</v>
      </c>
      <c r="U18" s="165">
        <v>0.925066300465673</v>
      </c>
      <c r="V18" s="165">
        <v>0.9264707403903516</v>
      </c>
      <c r="W18" s="165">
        <v>0.9278549630341062</v>
      </c>
      <c r="X18" s="165">
        <v>0.9292191230083144</v>
      </c>
      <c r="Y18" s="165">
        <v>0.9305633766666682</v>
      </c>
      <c r="Z18" s="165">
        <v>0.9318878820332746</v>
      </c>
    </row>
    <row r="19" spans="1:26" ht="12.75" customHeight="1" thickBot="1">
      <c r="A19" s="166"/>
      <c r="B19" s="166"/>
      <c r="C19" s="166"/>
      <c r="D19" s="170" t="s">
        <v>111</v>
      </c>
      <c r="E19" s="170" t="s">
        <v>125</v>
      </c>
      <c r="F19" s="170" t="s">
        <v>126</v>
      </c>
      <c r="G19" s="170" t="s">
        <v>127</v>
      </c>
      <c r="H19" s="170" t="s">
        <v>128</v>
      </c>
      <c r="I19" s="170" t="s">
        <v>129</v>
      </c>
      <c r="J19" s="170" t="s">
        <v>130</v>
      </c>
      <c r="K19" s="170" t="s">
        <v>131</v>
      </c>
      <c r="L19" s="170" t="s">
        <v>132</v>
      </c>
      <c r="M19" s="170" t="s">
        <v>133</v>
      </c>
      <c r="N19" s="170" t="s">
        <v>134</v>
      </c>
      <c r="P19" s="171">
        <v>1.5000000000000002</v>
      </c>
      <c r="Q19" s="165">
        <v>0.9331927987311419</v>
      </c>
      <c r="R19" s="165">
        <v>0.9344782879110834</v>
      </c>
      <c r="S19" s="165">
        <v>0.9357445121810641</v>
      </c>
      <c r="T19" s="165">
        <v>0.9369916355360215</v>
      </c>
      <c r="U19" s="165">
        <v>0.9382198232881882</v>
      </c>
      <c r="V19" s="165">
        <v>0.9394292419979411</v>
      </c>
      <c r="W19" s="165">
        <v>0.940620059405207</v>
      </c>
      <c r="X19" s="165">
        <v>0.941792444361447</v>
      </c>
      <c r="Y19" s="165">
        <v>0.9429465667622459</v>
      </c>
      <c r="Z19" s="165">
        <v>0.9440825974805305</v>
      </c>
    </row>
    <row r="20" spans="1:26" ht="12.75">
      <c r="A20" s="166"/>
      <c r="B20" s="166"/>
      <c r="C20" s="166"/>
      <c r="D20" s="171">
        <v>-1.9999999999999987</v>
      </c>
      <c r="E20" s="165">
        <v>0.02275013194817932</v>
      </c>
      <c r="F20" s="165">
        <v>0.023295467750211962</v>
      </c>
      <c r="G20" s="165">
        <v>0.023851764341508708</v>
      </c>
      <c r="H20" s="165">
        <v>0.024419185280222466</v>
      </c>
      <c r="I20" s="165">
        <v>0.024997895148220595</v>
      </c>
      <c r="J20" s="165">
        <v>0.025588059521638673</v>
      </c>
      <c r="K20" s="165">
        <v>0.026189844940452733</v>
      </c>
      <c r="L20" s="165">
        <v>0.026803418877054952</v>
      </c>
      <c r="M20" s="165">
        <v>0.027428949703836913</v>
      </c>
      <c r="N20" s="165">
        <v>0.028066606659772675</v>
      </c>
      <c r="P20" s="171">
        <v>1.6000000000000003</v>
      </c>
      <c r="Q20" s="165">
        <v>0.9452007083004421</v>
      </c>
      <c r="R20" s="165">
        <v>0.9463010718518803</v>
      </c>
      <c r="S20" s="165">
        <v>0.9473838615457479</v>
      </c>
      <c r="T20" s="165">
        <v>0.9484492515099106</v>
      </c>
      <c r="U20" s="165">
        <v>0.949497416525896</v>
      </c>
      <c r="V20" s="165">
        <v>0.9505285319663519</v>
      </c>
      <c r="W20" s="165">
        <v>0.9515427737332772</v>
      </c>
      <c r="X20" s="165">
        <v>0.9525403181970526</v>
      </c>
      <c r="Y20" s="165">
        <v>0.9535213421362799</v>
      </c>
      <c r="Z20" s="165">
        <v>0.9544860226784502</v>
      </c>
    </row>
    <row r="21" spans="1:26" ht="12.75">
      <c r="A21" s="166"/>
      <c r="B21" s="166"/>
      <c r="C21" s="166"/>
      <c r="D21" s="171">
        <v>-1.8999999999999986</v>
      </c>
      <c r="E21" s="165">
        <v>0.028716559816002074</v>
      </c>
      <c r="F21" s="165">
        <v>0.029378980040409397</v>
      </c>
      <c r="G21" s="165">
        <v>0.03005403896120007</v>
      </c>
      <c r="H21" s="165">
        <v>0.030741908929466044</v>
      </c>
      <c r="I21" s="165">
        <v>0.03144276298075277</v>
      </c>
      <c r="J21" s="165">
        <v>0.03215677479561374</v>
      </c>
      <c r="K21" s="165">
        <v>0.03288411865916396</v>
      </c>
      <c r="L21" s="165">
        <v>0.03362496941962845</v>
      </c>
      <c r="M21" s="165">
        <v>0.03437950244588994</v>
      </c>
      <c r="N21" s="165">
        <v>0.035147893584038914</v>
      </c>
      <c r="P21" s="171">
        <v>1.7000000000000004</v>
      </c>
      <c r="Q21" s="165">
        <v>0.955434537241457</v>
      </c>
      <c r="R21" s="165">
        <v>0.956367063475968</v>
      </c>
      <c r="S21" s="165">
        <v>0.9572837792086712</v>
      </c>
      <c r="T21" s="165">
        <v>0.958184862386405</v>
      </c>
      <c r="U21" s="165">
        <v>0.9590704910211927</v>
      </c>
      <c r="V21" s="165">
        <v>0.959940843136183</v>
      </c>
      <c r="W21" s="165">
        <v>0.9607960967125173</v>
      </c>
      <c r="X21" s="165">
        <v>0.9616364296371287</v>
      </c>
      <c r="Y21" s="165">
        <v>0.962462019651483</v>
      </c>
      <c r="Z21" s="165">
        <v>0.9632730443012738</v>
      </c>
    </row>
    <row r="22" spans="1:26" ht="12.75">
      <c r="A22" s="166"/>
      <c r="B22" s="166"/>
      <c r="C22" s="166"/>
      <c r="D22" s="171">
        <v>-1.7999999999999985</v>
      </c>
      <c r="E22" s="165">
        <v>0.03593031911292599</v>
      </c>
      <c r="F22" s="165">
        <v>0.036726955698726416</v>
      </c>
      <c r="G22" s="165">
        <v>0.037537980348516964</v>
      </c>
      <c r="H22" s="165">
        <v>0.038363570362871524</v>
      </c>
      <c r="I22" s="165">
        <v>0.03920390328748291</v>
      </c>
      <c r="J22" s="165">
        <v>0.040059156863817225</v>
      </c>
      <c r="K22" s="165">
        <v>0.04092950897880754</v>
      </c>
      <c r="L22" s="165">
        <v>0.04181513761359512</v>
      </c>
      <c r="M22" s="165">
        <v>0.042716220791328974</v>
      </c>
      <c r="N22" s="165">
        <v>0.04363293652403222</v>
      </c>
      <c r="P22" s="171">
        <v>1.8000000000000005</v>
      </c>
      <c r="Q22" s="165">
        <v>0.9640696808870742</v>
      </c>
      <c r="R22" s="165">
        <v>0.9648521064159614</v>
      </c>
      <c r="S22" s="165">
        <v>0.9656204975541101</v>
      </c>
      <c r="T22" s="165">
        <v>0.9663750305803718</v>
      </c>
      <c r="U22" s="165">
        <v>0.9671158813408363</v>
      </c>
      <c r="V22" s="165">
        <v>0.9678432252043865</v>
      </c>
      <c r="W22" s="165">
        <v>0.9685572370192472</v>
      </c>
      <c r="X22" s="165">
        <v>0.9692580910705341</v>
      </c>
      <c r="Y22" s="165">
        <v>0.9699459610388003</v>
      </c>
      <c r="Z22" s="165">
        <v>0.9706210199595907</v>
      </c>
    </row>
    <row r="23" spans="1:26" ht="12.75">
      <c r="A23" s="166"/>
      <c r="B23" s="166"/>
      <c r="C23" s="166"/>
      <c r="D23" s="171">
        <v>-1.6999999999999984</v>
      </c>
      <c r="E23" s="165">
        <v>0.04456546275854323</v>
      </c>
      <c r="F23" s="165">
        <v>0.04551397732155005</v>
      </c>
      <c r="G23" s="165">
        <v>0.04647865786372041</v>
      </c>
      <c r="H23" s="165">
        <v>0.04745968180294746</v>
      </c>
      <c r="I23" s="165">
        <v>0.048457226266722886</v>
      </c>
      <c r="J23" s="165">
        <v>0.049471468033648214</v>
      </c>
      <c r="K23" s="165">
        <v>0.05050258347410408</v>
      </c>
      <c r="L23" s="165">
        <v>0.05155074849008956</v>
      </c>
      <c r="M23" s="165">
        <v>0.05261613845425217</v>
      </c>
      <c r="N23" s="165">
        <v>0.05369892814811994</v>
      </c>
      <c r="P23" s="171">
        <v>1.9000000000000006</v>
      </c>
      <c r="Q23" s="165">
        <v>0.971283440183998</v>
      </c>
      <c r="R23" s="165">
        <v>0.9719333933402274</v>
      </c>
      <c r="S23" s="165">
        <v>0.9725710502961633</v>
      </c>
      <c r="T23" s="165">
        <v>0.9731965811229449</v>
      </c>
      <c r="U23" s="165">
        <v>0.9738101550595473</v>
      </c>
      <c r="V23" s="165">
        <v>0.9744119404783613</v>
      </c>
      <c r="W23" s="165">
        <v>0.9750021048517796</v>
      </c>
      <c r="X23" s="165">
        <v>0.9755808147197778</v>
      </c>
      <c r="Y23" s="165">
        <v>0.9761482356584915</v>
      </c>
      <c r="Z23" s="165">
        <v>0.9767045322497883</v>
      </c>
    </row>
    <row r="24" spans="1:26" ht="13.5" thickBot="1">
      <c r="A24" s="166"/>
      <c r="B24" s="166"/>
      <c r="C24" s="166"/>
      <c r="D24" s="171">
        <v>-1.5999999999999983</v>
      </c>
      <c r="E24" s="165">
        <v>0.054799291699558106</v>
      </c>
      <c r="F24" s="165">
        <v>0.05591740251946975</v>
      </c>
      <c r="G24" s="165">
        <v>0.05705343323775458</v>
      </c>
      <c r="H24" s="165">
        <v>0.05820755563855329</v>
      </c>
      <c r="I24" s="165">
        <v>0.059379940594793235</v>
      </c>
      <c r="J24" s="165">
        <v>0.06057075800205913</v>
      </c>
      <c r="K24" s="165">
        <v>0.06178017671181213</v>
      </c>
      <c r="L24" s="165">
        <v>0.06300836446397873</v>
      </c>
      <c r="M24" s="165">
        <v>0.06425548781893609</v>
      </c>
      <c r="N24" s="165">
        <v>0.06552171208891677</v>
      </c>
      <c r="P24" s="170" t="s">
        <v>111</v>
      </c>
      <c r="Q24" s="170" t="s">
        <v>125</v>
      </c>
      <c r="R24" s="170" t="s">
        <v>126</v>
      </c>
      <c r="S24" s="170" t="s">
        <v>127</v>
      </c>
      <c r="T24" s="170" t="s">
        <v>128</v>
      </c>
      <c r="U24" s="170" t="s">
        <v>129</v>
      </c>
      <c r="V24" s="170" t="s">
        <v>130</v>
      </c>
      <c r="W24" s="170" t="s">
        <v>131</v>
      </c>
      <c r="X24" s="170" t="s">
        <v>132</v>
      </c>
      <c r="Y24" s="170" t="s">
        <v>133</v>
      </c>
      <c r="Z24" s="170" t="s">
        <v>134</v>
      </c>
    </row>
    <row r="25" spans="1:26" ht="12.75">
      <c r="A25" s="166"/>
      <c r="B25" s="166"/>
      <c r="C25" s="166"/>
      <c r="D25" s="171">
        <v>-1.4999999999999982</v>
      </c>
      <c r="E25" s="165">
        <v>0.06680720126885831</v>
      </c>
      <c r="F25" s="165">
        <v>0.06811211796672567</v>
      </c>
      <c r="G25" s="165">
        <v>0.069436623333332</v>
      </c>
      <c r="H25" s="165">
        <v>0.07078087699168578</v>
      </c>
      <c r="I25" s="165">
        <v>0.07214503696589414</v>
      </c>
      <c r="J25" s="165">
        <v>0.07352925960964862</v>
      </c>
      <c r="K25" s="165">
        <v>0.07493369953432738</v>
      </c>
      <c r="L25" s="165">
        <v>0.0763585095367394</v>
      </c>
      <c r="M25" s="165">
        <v>0.07780384052654665</v>
      </c>
      <c r="N25" s="165">
        <v>0.07926984145339278</v>
      </c>
      <c r="P25" s="171">
        <v>2.0000000000000004</v>
      </c>
      <c r="Q25" s="165">
        <v>0.9772498680518207</v>
      </c>
      <c r="R25" s="165">
        <v>0.9777844055705684</v>
      </c>
      <c r="S25" s="165">
        <v>0.9783083062323531</v>
      </c>
      <c r="T25" s="165">
        <v>0.9788217303573277</v>
      </c>
      <c r="U25" s="165">
        <v>0.97932483713393</v>
      </c>
      <c r="V25" s="165">
        <v>0.9798177845942956</v>
      </c>
      <c r="W25" s="165">
        <v>0.9803007295906233</v>
      </c>
      <c r="X25" s="165">
        <v>0.9807738277724827</v>
      </c>
      <c r="Y25" s="165">
        <v>0.9812372335650621</v>
      </c>
      <c r="Z25" s="165">
        <v>0.981691100148341</v>
      </c>
    </row>
    <row r="26" spans="1:26" ht="12.75">
      <c r="A26" s="166"/>
      <c r="B26" s="166"/>
      <c r="C26" s="166"/>
      <c r="D26" s="171">
        <v>-1.3999999999999981</v>
      </c>
      <c r="E26" s="165">
        <v>0.08075665923377129</v>
      </c>
      <c r="F26" s="165">
        <v>0.0822644386776692</v>
      </c>
      <c r="G26" s="165">
        <v>0.08379332241501436</v>
      </c>
      <c r="H26" s="165">
        <v>0.08534345082196737</v>
      </c>
      <c r="I26" s="165">
        <v>0.08691496194708537</v>
      </c>
      <c r="J26" s="165">
        <v>0.08850799143740229</v>
      </c>
      <c r="K26" s="165">
        <v>0.09012267246445282</v>
      </c>
      <c r="L26" s="165">
        <v>0.09175913565028115</v>
      </c>
      <c r="M26" s="165">
        <v>0.09341750899347212</v>
      </c>
      <c r="N26" s="165">
        <v>0.09509791779523935</v>
      </c>
      <c r="P26" s="171">
        <v>2.1000000000000005</v>
      </c>
      <c r="Q26" s="165">
        <v>0.9821355794371835</v>
      </c>
      <c r="R26" s="165">
        <v>0.982570822062343</v>
      </c>
      <c r="S26" s="165">
        <v>0.9829969773523671</v>
      </c>
      <c r="T26" s="165">
        <v>0.9834141933163949</v>
      </c>
      <c r="U26" s="165">
        <v>0.983822616627834</v>
      </c>
      <c r="V26" s="165">
        <v>0.9842223926089095</v>
      </c>
      <c r="W26" s="165">
        <v>0.9846136652160744</v>
      </c>
      <c r="X26" s="165">
        <v>0.9849965770262676</v>
      </c>
      <c r="Y26" s="165">
        <v>0.9853712692240109</v>
      </c>
      <c r="Z26" s="165">
        <v>0.9857378815893312</v>
      </c>
    </row>
    <row r="27" spans="1:26" ht="12.75">
      <c r="A27" s="166"/>
      <c r="B27" s="166"/>
      <c r="C27" s="166"/>
      <c r="D27" s="171">
        <v>-1.299999999999998</v>
      </c>
      <c r="E27" s="165">
        <v>0.09680048458561064</v>
      </c>
      <c r="F27" s="165">
        <v>0.09852532904974831</v>
      </c>
      <c r="G27" s="165">
        <v>0.1002725679544425</v>
      </c>
      <c r="H27" s="165">
        <v>0.10204231507481953</v>
      </c>
      <c r="I27" s="165">
        <v>0.1038346811213009</v>
      </c>
      <c r="J27" s="165">
        <v>0.10564977366685568</v>
      </c>
      <c r="K27" s="165">
        <v>0.10748769707458727</v>
      </c>
      <c r="L27" s="165">
        <v>0.1093485524256923</v>
      </c>
      <c r="M27" s="165">
        <v>0.11123243744783506</v>
      </c>
      <c r="N27" s="165">
        <v>0.11313944644397766</v>
      </c>
      <c r="P27" s="171">
        <v>2.2000000000000006</v>
      </c>
      <c r="Q27" s="165">
        <v>0.9860965524865013</v>
      </c>
      <c r="R27" s="165">
        <v>0.9864474188535801</v>
      </c>
      <c r="S27" s="165">
        <v>0.986790616192744</v>
      </c>
      <c r="T27" s="165">
        <v>0.9871262785613979</v>
      </c>
      <c r="U27" s="165">
        <v>0.9874545385640535</v>
      </c>
      <c r="V27" s="165">
        <v>0.9877755273449556</v>
      </c>
      <c r="W27" s="165">
        <v>0.988089374581453</v>
      </c>
      <c r="X27" s="165">
        <v>0.9883962084780964</v>
      </c>
      <c r="Y27" s="165">
        <v>0.9886961557614471</v>
      </c>
      <c r="Z27" s="165">
        <v>0.9889893416755885</v>
      </c>
    </row>
    <row r="28" spans="1:26" ht="12.75">
      <c r="A28" s="166"/>
      <c r="B28" s="166"/>
      <c r="C28" s="166"/>
      <c r="D28" s="171">
        <v>-1.199999999999998</v>
      </c>
      <c r="E28" s="165">
        <v>0.11506967022170866</v>
      </c>
      <c r="F28" s="165">
        <v>0.11702319602310918</v>
      </c>
      <c r="G28" s="165">
        <v>0.11900010745520118</v>
      </c>
      <c r="H28" s="165">
        <v>0.12100048442101863</v>
      </c>
      <c r="I28" s="165">
        <v>0.12302440305134388</v>
      </c>
      <c r="J28" s="165">
        <v>0.1250719356371507</v>
      </c>
      <c r="K28" s="165">
        <v>0.12714315056279868</v>
      </c>
      <c r="L28" s="165">
        <v>0.12923811224001824</v>
      </c>
      <c r="M28" s="165">
        <v>0.13135688104273113</v>
      </c>
      <c r="N28" s="165">
        <v>0.13349951324274767</v>
      </c>
      <c r="P28" s="171">
        <v>2.3000000000000007</v>
      </c>
      <c r="Q28" s="165">
        <v>0.9892758899783238</v>
      </c>
      <c r="R28" s="165">
        <v>0.989555922938049</v>
      </c>
      <c r="S28" s="165">
        <v>0.9898295613312802</v>
      </c>
      <c r="T28" s="165">
        <v>0.9900969244408357</v>
      </c>
      <c r="U28" s="165">
        <v>0.9903581300546416</v>
      </c>
      <c r="V28" s="165">
        <v>0.9906132944651613</v>
      </c>
      <c r="W28" s="165">
        <v>0.9908625324694273</v>
      </c>
      <c r="X28" s="165">
        <v>0.991105957369663</v>
      </c>
      <c r="Y28" s="165">
        <v>0.9913436809744836</v>
      </c>
      <c r="Z28" s="165">
        <v>0.9915758136006545</v>
      </c>
    </row>
    <row r="29" spans="1:26" ht="12.75">
      <c r="A29" s="166"/>
      <c r="B29" s="166"/>
      <c r="C29" s="166"/>
      <c r="D29" s="171">
        <v>-1.0999999999999979</v>
      </c>
      <c r="E29" s="165">
        <v>0.13566606094638312</v>
      </c>
      <c r="F29" s="165">
        <v>0.13785657203203594</v>
      </c>
      <c r="G29" s="165">
        <v>0.1400710900887696</v>
      </c>
      <c r="H29" s="165">
        <v>0.1423096543559399</v>
      </c>
      <c r="I29" s="165">
        <v>0.14457229966391016</v>
      </c>
      <c r="J29" s="165">
        <v>0.14685905637589647</v>
      </c>
      <c r="K29" s="165">
        <v>0.14916995033098202</v>
      </c>
      <c r="L29" s="165">
        <v>0.15150500278834422</v>
      </c>
      <c r="M29" s="165">
        <v>0.15386423037273556</v>
      </c>
      <c r="N29" s="165">
        <v>0.1562476450212552</v>
      </c>
      <c r="P29" s="171">
        <v>2.400000000000001</v>
      </c>
      <c r="Q29" s="165">
        <v>0.991802464075404</v>
      </c>
      <c r="R29" s="165">
        <v>0.9920237397392663</v>
      </c>
      <c r="S29" s="165">
        <v>0.9922397464494463</v>
      </c>
      <c r="T29" s="165">
        <v>0.992450588583691</v>
      </c>
      <c r="U29" s="165">
        <v>0.9926563690446517</v>
      </c>
      <c r="V29" s="165">
        <v>0.9928571892647285</v>
      </c>
      <c r="W29" s="165">
        <v>0.9930531492113759</v>
      </c>
      <c r="X29" s="165">
        <v>0.9932443473928594</v>
      </c>
      <c r="Y29" s="165">
        <v>0.9934308808644533</v>
      </c>
      <c r="Z29" s="165">
        <v>0.993612845235057</v>
      </c>
    </row>
    <row r="30" spans="1:26" ht="12" customHeight="1" thickBot="1">
      <c r="A30" s="166"/>
      <c r="B30" s="166"/>
      <c r="C30" s="166"/>
      <c r="D30" s="170" t="s">
        <v>111</v>
      </c>
      <c r="E30" s="170" t="s">
        <v>125</v>
      </c>
      <c r="F30" s="170" t="s">
        <v>126</v>
      </c>
      <c r="G30" s="170" t="s">
        <v>127</v>
      </c>
      <c r="H30" s="170" t="s">
        <v>128</v>
      </c>
      <c r="I30" s="170" t="s">
        <v>129</v>
      </c>
      <c r="J30" s="170" t="s">
        <v>130</v>
      </c>
      <c r="K30" s="170" t="s">
        <v>131</v>
      </c>
      <c r="L30" s="170" t="s">
        <v>132</v>
      </c>
      <c r="M30" s="170" t="s">
        <v>133</v>
      </c>
      <c r="N30" s="170" t="s">
        <v>134</v>
      </c>
      <c r="P30" s="171">
        <v>2.500000000000001</v>
      </c>
      <c r="Q30" s="165">
        <v>0.993790334674224</v>
      </c>
      <c r="R30" s="165">
        <v>0.9939634419195874</v>
      </c>
      <c r="S30" s="165">
        <v>0.9941322582846674</v>
      </c>
      <c r="T30" s="165">
        <v>0.9942968736670494</v>
      </c>
      <c r="U30" s="165">
        <v>0.9944573765569176</v>
      </c>
      <c r="V30" s="165">
        <v>0.9946138540459332</v>
      </c>
      <c r="W30" s="165">
        <v>0.9947663918364442</v>
      </c>
      <c r="X30" s="165">
        <v>0.9949150742510089</v>
      </c>
      <c r="Y30" s="165">
        <v>0.9950599842422293</v>
      </c>
      <c r="Z30" s="165">
        <v>0.9952012034028739</v>
      </c>
    </row>
    <row r="31" spans="1:26" ht="12.75">
      <c r="A31" s="166"/>
      <c r="B31" s="166"/>
      <c r="C31" s="166"/>
      <c r="D31" s="171">
        <v>-0.9999999999999979</v>
      </c>
      <c r="E31" s="165">
        <v>0.15865525393145763</v>
      </c>
      <c r="F31" s="165">
        <v>0.16108705951083158</v>
      </c>
      <c r="G31" s="165">
        <v>0.16354305932769309</v>
      </c>
      <c r="H31" s="165">
        <v>0.16602324606353003</v>
      </c>
      <c r="I31" s="165">
        <v>0.16852760746683848</v>
      </c>
      <c r="J31" s="165">
        <v>0.17105612630848244</v>
      </c>
      <c r="K31" s="165">
        <v>0.17360878033862526</v>
      </c>
      <c r="L31" s="165">
        <v>0.1761855422452585</v>
      </c>
      <c r="M31" s="165">
        <v>0.17878637961437227</v>
      </c>
      <c r="N31" s="165">
        <v>0.18141125489179788</v>
      </c>
      <c r="P31" s="171">
        <v>2.600000000000001</v>
      </c>
      <c r="Q31" s="165">
        <v>0.9953388119762813</v>
      </c>
      <c r="R31" s="165">
        <v>0.9954728888670328</v>
      </c>
      <c r="S31" s="165">
        <v>0.9956035116518789</v>
      </c>
      <c r="T31" s="165">
        <v>0.9957307565909106</v>
      </c>
      <c r="U31" s="165">
        <v>0.995854698638964</v>
      </c>
      <c r="V31" s="165">
        <v>0.9959754114572417</v>
      </c>
      <c r="W31" s="165">
        <v>0.9960929674251471</v>
      </c>
      <c r="X31" s="165">
        <v>0.9962074376523145</v>
      </c>
      <c r="Y31" s="165">
        <v>0.996318891990825</v>
      </c>
      <c r="Z31" s="165">
        <v>0.9964273990476005</v>
      </c>
    </row>
    <row r="32" spans="1:26" ht="12.75">
      <c r="A32" s="166"/>
      <c r="B32" s="166"/>
      <c r="C32" s="166"/>
      <c r="D32" s="171">
        <v>-0.8999999999999979</v>
      </c>
      <c r="E32" s="165">
        <v>0.18406012534676008</v>
      </c>
      <c r="F32" s="165">
        <v>0.18673294303717314</v>
      </c>
      <c r="G32" s="165">
        <v>0.1894296547767127</v>
      </c>
      <c r="H32" s="165">
        <v>0.1921502021036967</v>
      </c>
      <c r="I32" s="165">
        <v>0.19489452125180895</v>
      </c>
      <c r="J32" s="165">
        <v>0.19766254312269282</v>
      </c>
      <c r="K32" s="165">
        <v>0.20045419326045022</v>
      </c>
      <c r="L32" s="165">
        <v>0.20326939182806902</v>
      </c>
      <c r="M32" s="165">
        <v>0.20610805358581374</v>
      </c>
      <c r="N32" s="165">
        <v>0.2089700878716022</v>
      </c>
      <c r="P32" s="171">
        <v>2.700000000000001</v>
      </c>
      <c r="Q32" s="165">
        <v>0.9965330261969598</v>
      </c>
      <c r="R32" s="165">
        <v>0.9966358395933308</v>
      </c>
      <c r="S32" s="165">
        <v>0.9967359041841086</v>
      </c>
      <c r="T32" s="165">
        <v>0.9968332837226423</v>
      </c>
      <c r="U32" s="165">
        <v>0.9969280407813494</v>
      </c>
      <c r="V32" s="165">
        <v>0.9970202367649456</v>
      </c>
      <c r="W32" s="165">
        <v>0.9971099319237738</v>
      </c>
      <c r="X32" s="165">
        <v>0.9971971853672349</v>
      </c>
      <c r="Y32" s="165">
        <v>0.9972820550772987</v>
      </c>
      <c r="Z32" s="165">
        <v>0.9973645979220953</v>
      </c>
    </row>
    <row r="33" spans="1:26" ht="12.75">
      <c r="A33" s="166"/>
      <c r="B33" s="166"/>
      <c r="C33" s="166"/>
      <c r="D33" s="171">
        <v>-0.7999999999999979</v>
      </c>
      <c r="E33" s="165">
        <v>0.2118553985833973</v>
      </c>
      <c r="F33" s="165">
        <v>0.21476388416363767</v>
      </c>
      <c r="G33" s="165">
        <v>0.21769543758573384</v>
      </c>
      <c r="H33" s="165">
        <v>0.22064994634265023</v>
      </c>
      <c r="I33" s="165">
        <v>0.22362729243760016</v>
      </c>
      <c r="J33" s="165">
        <v>0.22662735237686893</v>
      </c>
      <c r="K33" s="165">
        <v>0.22964999716479118</v>
      </c>
      <c r="L33" s="165">
        <v>0.23269509230089813</v>
      </c>
      <c r="M33" s="165">
        <v>0.23576249777925185</v>
      </c>
      <c r="N33" s="165">
        <v>0.23885206808998738</v>
      </c>
      <c r="P33" s="171">
        <v>2.800000000000001</v>
      </c>
      <c r="Q33" s="165">
        <v>0.9974448696695721</v>
      </c>
      <c r="R33" s="165">
        <v>0.9975229250012143</v>
      </c>
      <c r="S33" s="165">
        <v>0.9975988175258108</v>
      </c>
      <c r="T33" s="165">
        <v>0.9976725997932685</v>
      </c>
      <c r="U33" s="165">
        <v>0.9977443233084577</v>
      </c>
      <c r="V33" s="165">
        <v>0.9978140385450867</v>
      </c>
      <c r="W33" s="165">
        <v>0.9978817949595952</v>
      </c>
      <c r="X33" s="165">
        <v>0.9979476410050603</v>
      </c>
      <c r="Y33" s="165">
        <v>0.9980116241451056</v>
      </c>
      <c r="Z33" s="165">
        <v>0.9980737908678121</v>
      </c>
    </row>
    <row r="34" spans="1:26" ht="12.75">
      <c r="A34" s="166"/>
      <c r="B34" s="166"/>
      <c r="C34" s="166"/>
      <c r="D34" s="171">
        <v>-0.699999999999998</v>
      </c>
      <c r="E34" s="165">
        <v>0.2419636522230737</v>
      </c>
      <c r="F34" s="165">
        <v>0.2450970936743101</v>
      </c>
      <c r="G34" s="165">
        <v>0.24825223045357125</v>
      </c>
      <c r="H34" s="165">
        <v>0.25142889509531086</v>
      </c>
      <c r="I34" s="165">
        <v>0.2546269146713368</v>
      </c>
      <c r="J34" s="165">
        <v>0.2578461108058654</v>
      </c>
      <c r="K34" s="165">
        <v>0.26108629969286223</v>
      </c>
      <c r="L34" s="165">
        <v>0.2643472921156783</v>
      </c>
      <c r="M34" s="165">
        <v>0.26762889346898366</v>
      </c>
      <c r="N34" s="165">
        <v>0.2709309037830063</v>
      </c>
      <c r="P34" s="171">
        <v>2.9000000000000012</v>
      </c>
      <c r="Q34" s="165">
        <v>0.9981341866996158</v>
      </c>
      <c r="R34" s="165">
        <v>0.9981928562191937</v>
      </c>
      <c r="S34" s="165">
        <v>0.9982498430713242</v>
      </c>
      <c r="T34" s="165">
        <v>0.9983051899807232</v>
      </c>
      <c r="U34" s="165">
        <v>0.9983589387658429</v>
      </c>
      <c r="V34" s="165">
        <v>0.9984111303526348</v>
      </c>
      <c r="W34" s="165">
        <v>0.9984618047882617</v>
      </c>
      <c r="X34" s="165">
        <v>0.9985110012547624</v>
      </c>
      <c r="Y34" s="165">
        <v>0.99855875808266</v>
      </c>
      <c r="Z34" s="165">
        <v>0.9986051127645081</v>
      </c>
    </row>
    <row r="35" spans="1:26" ht="13.5" thickBot="1">
      <c r="A35" s="166"/>
      <c r="B35" s="166"/>
      <c r="C35" s="166"/>
      <c r="D35" s="171">
        <v>-0.599999999999998</v>
      </c>
      <c r="E35" s="165">
        <v>0.2742531177500742</v>
      </c>
      <c r="F35" s="165">
        <v>0.2775953247534657</v>
      </c>
      <c r="G35" s="165">
        <v>0.2809573088985651</v>
      </c>
      <c r="H35" s="165">
        <v>0.2843388490463249</v>
      </c>
      <c r="I35" s="165">
        <v>0.2877397188490277</v>
      </c>
      <c r="J35" s="165">
        <v>0.291159686788347</v>
      </c>
      <c r="K35" s="165">
        <v>0.29459851621569877</v>
      </c>
      <c r="L35" s="165">
        <v>0.2980559653948771</v>
      </c>
      <c r="M35" s="165">
        <v>0.30153178754696686</v>
      </c>
      <c r="N35" s="165">
        <v>0.30502573089752016</v>
      </c>
      <c r="P35" s="170" t="s">
        <v>111</v>
      </c>
      <c r="Q35" s="170" t="s">
        <v>125</v>
      </c>
      <c r="R35" s="170" t="s">
        <v>126</v>
      </c>
      <c r="S35" s="170" t="s">
        <v>127</v>
      </c>
      <c r="T35" s="170" t="s">
        <v>128</v>
      </c>
      <c r="U35" s="170" t="s">
        <v>129</v>
      </c>
      <c r="V35" s="170" t="s">
        <v>130</v>
      </c>
      <c r="W35" s="170" t="s">
        <v>131</v>
      </c>
      <c r="X35" s="170" t="s">
        <v>132</v>
      </c>
      <c r="Y35" s="170" t="s">
        <v>133</v>
      </c>
      <c r="Z35" s="170" t="s">
        <v>134</v>
      </c>
    </row>
    <row r="36" spans="1:26" ht="12.75">
      <c r="A36" s="166"/>
      <c r="B36" s="166"/>
      <c r="C36" s="166"/>
      <c r="D36" s="171">
        <v>-0.499999999999998</v>
      </c>
      <c r="E36" s="165">
        <v>0.30853753872598766</v>
      </c>
      <c r="F36" s="165">
        <v>0.3120669494173913</v>
      </c>
      <c r="G36" s="165">
        <v>0.3156136965162233</v>
      </c>
      <c r="H36" s="165">
        <v>0.3191775087825566</v>
      </c>
      <c r="I36" s="165">
        <v>0.3227581102503485</v>
      </c>
      <c r="J36" s="165">
        <v>0.32635522028792074</v>
      </c>
      <c r="K36" s="165">
        <v>0.3299685536605944</v>
      </c>
      <c r="L36" s="165">
        <v>0.3335978205954584</v>
      </c>
      <c r="M36" s="165">
        <v>0.3372427268482503</v>
      </c>
      <c r="N36" s="165">
        <v>0.34090297377232326</v>
      </c>
      <c r="P36" s="171">
        <v>3.0000000000000013</v>
      </c>
      <c r="Q36" s="165">
        <v>0.9986501019683701</v>
      </c>
      <c r="R36" s="165">
        <v>0.9986937615512305</v>
      </c>
      <c r="S36" s="165">
        <v>0.9987361265723278</v>
      </c>
      <c r="T36" s="165">
        <v>0.9987772313064077</v>
      </c>
      <c r="U36" s="165">
        <v>0.9988171092568956</v>
      </c>
      <c r="V36" s="165">
        <v>0.9988557931689772</v>
      </c>
      <c r="W36" s="165">
        <v>0.9988933150425909</v>
      </c>
      <c r="X36" s="165">
        <v>0.9989297061453213</v>
      </c>
      <c r="Y36" s="165">
        <v>0.9989649970251975</v>
      </c>
      <c r="Z36" s="165">
        <v>0.9989992175233859</v>
      </c>
    </row>
    <row r="37" spans="1:26" ht="12.75">
      <c r="A37" s="166"/>
      <c r="B37" s="166"/>
      <c r="C37" s="166"/>
      <c r="D37" s="171">
        <v>-0.399999999999998</v>
      </c>
      <c r="E37" s="165">
        <v>0.3445782583896766</v>
      </c>
      <c r="F37" s="165">
        <v>0.34826827346401834</v>
      </c>
      <c r="G37" s="165">
        <v>0.351972707575838</v>
      </c>
      <c r="H37" s="165">
        <v>0.35569124519945394</v>
      </c>
      <c r="I37" s="165">
        <v>0.3594235667820095</v>
      </c>
      <c r="J37" s="165">
        <v>0.3631693488243817</v>
      </c>
      <c r="K37" s="165">
        <v>0.3669282639639727</v>
      </c>
      <c r="L37" s="165">
        <v>0.3706999810593472</v>
      </c>
      <c r="M37" s="165">
        <v>0.3744841652766807</v>
      </c>
      <c r="N37" s="165">
        <v>0.3782804781779815</v>
      </c>
      <c r="P37" s="171">
        <v>3.1000000000000014</v>
      </c>
      <c r="Q37" s="165">
        <v>0.9990323967867818</v>
      </c>
      <c r="R37" s="165">
        <v>0.9990645632804858</v>
      </c>
      <c r="S37" s="165">
        <v>0.9990957448001778</v>
      </c>
      <c r="T37" s="165">
        <v>0.9991259684843683</v>
      </c>
      <c r="U37" s="165">
        <v>0.9991552608265417</v>
      </c>
      <c r="V37" s="165">
        <v>0.9991836476871707</v>
      </c>
      <c r="W37" s="165">
        <v>0.9992111543056245</v>
      </c>
      <c r="X37" s="165">
        <v>0.9992378053119325</v>
      </c>
      <c r="Y37" s="165">
        <v>0.999263624738446</v>
      </c>
      <c r="Z37" s="165">
        <v>0.9992886360313552</v>
      </c>
    </row>
    <row r="38" spans="1:26" ht="12.75">
      <c r="A38" s="166"/>
      <c r="B38" s="166"/>
      <c r="C38" s="166"/>
      <c r="D38" s="171">
        <v>-0.29999999999999805</v>
      </c>
      <c r="E38" s="165">
        <v>0.3820885778110481</v>
      </c>
      <c r="F38" s="165">
        <v>0.3859081188011234</v>
      </c>
      <c r="G38" s="165">
        <v>0.38973875244420353</v>
      </c>
      <c r="H38" s="165">
        <v>0.3935801268019612</v>
      </c>
      <c r="I38" s="165">
        <v>0.39743188679824026</v>
      </c>
      <c r="J38" s="165">
        <v>0.4012936743170771</v>
      </c>
      <c r="K38" s="165">
        <v>0.40516512830220486</v>
      </c>
      <c r="L38" s="165">
        <v>0.40904588485799487</v>
      </c>
      <c r="M38" s="165">
        <v>0.4129355773517862</v>
      </c>
      <c r="N38" s="165">
        <v>0.41683383651755845</v>
      </c>
      <c r="P38" s="171">
        <v>3.2000000000000015</v>
      </c>
      <c r="Q38" s="165">
        <v>0.9993128620620841</v>
      </c>
      <c r="R38" s="165">
        <v>0.9993363251385605</v>
      </c>
      <c r="S38" s="165">
        <v>0.9993590470163396</v>
      </c>
      <c r="T38" s="165">
        <v>0.9993810489096135</v>
      </c>
      <c r="U38" s="165">
        <v>0.9994023515020658</v>
      </c>
      <c r="V38" s="165">
        <v>0.9994229749576101</v>
      </c>
      <c r="W38" s="165">
        <v>0.9994429389309754</v>
      </c>
      <c r="X38" s="165">
        <v>0.99946226257817</v>
      </c>
      <c r="Y38" s="165">
        <v>0.9994809645667937</v>
      </c>
      <c r="Z38" s="165">
        <v>0.9994990630862143</v>
      </c>
    </row>
    <row r="39" spans="1:26" ht="12.75">
      <c r="A39" s="166"/>
      <c r="B39" s="166"/>
      <c r="C39" s="166"/>
      <c r="D39" s="171">
        <v>-0.19999999999999804</v>
      </c>
      <c r="E39" s="165">
        <v>0.4207402905608978</v>
      </c>
      <c r="F39" s="165">
        <v>0.4246545652652053</v>
      </c>
      <c r="G39" s="165">
        <v>0.4285762840991001</v>
      </c>
      <c r="H39" s="165">
        <v>0.4325050683249624</v>
      </c>
      <c r="I39" s="165">
        <v>0.4364405371085679</v>
      </c>
      <c r="J39" s="165">
        <v>0.4403823076297583</v>
      </c>
      <c r="K39" s="165">
        <v>0.44432999519409433</v>
      </c>
      <c r="L39" s="165">
        <v>0.44828321334543964</v>
      </c>
      <c r="M39" s="165">
        <v>0.4522415739794169</v>
      </c>
      <c r="N39" s="165">
        <v>0.45620468745768394</v>
      </c>
      <c r="P39" s="171">
        <v>3.3000000000000016</v>
      </c>
      <c r="Q39" s="165">
        <v>0.9995165758576167</v>
      </c>
      <c r="R39" s="165">
        <v>0.9995335201438931</v>
      </c>
      <c r="S39" s="165">
        <v>0.9995499127594081</v>
      </c>
      <c r="T39" s="165">
        <v>0.9995657700796186</v>
      </c>
      <c r="U39" s="165">
        <v>0.999581108050549</v>
      </c>
      <c r="V39" s="165">
        <v>0.9995959421981355</v>
      </c>
      <c r="W39" s="165">
        <v>0.9996102876374177</v>
      </c>
      <c r="X39" s="165">
        <v>0.9996241590816002</v>
      </c>
      <c r="Y39" s="165">
        <v>0.9996375708509669</v>
      </c>
      <c r="Z39" s="165">
        <v>0.9996505368816616</v>
      </c>
    </row>
    <row r="40" spans="1:26" ht="12.75">
      <c r="A40" s="166"/>
      <c r="B40" s="166"/>
      <c r="C40" s="166"/>
      <c r="D40" s="171">
        <v>-0.09999999999999803</v>
      </c>
      <c r="E40" s="165">
        <v>0.4601721627229718</v>
      </c>
      <c r="F40" s="165">
        <v>0.46414360741482863</v>
      </c>
      <c r="G40" s="165">
        <v>0.46811862798601345</v>
      </c>
      <c r="H40" s="165">
        <v>0.47209682981947965</v>
      </c>
      <c r="I40" s="165">
        <v>0.47607781734589394</v>
      </c>
      <c r="J40" s="165">
        <v>0.4800611941616283</v>
      </c>
      <c r="K40" s="165">
        <v>0.48404656314717</v>
      </c>
      <c r="L40" s="165">
        <v>0.48803352658588817</v>
      </c>
      <c r="M40" s="165">
        <v>0.49202168628309884</v>
      </c>
      <c r="N40" s="165">
        <v>0.4960106436853692</v>
      </c>
      <c r="P40" s="171">
        <v>3.4000000000000017</v>
      </c>
      <c r="Q40" s="165">
        <v>0.9996630707343231</v>
      </c>
      <c r="R40" s="165">
        <v>0.9996751856025816</v>
      </c>
      <c r="S40" s="165">
        <v>0.9996868943214197</v>
      </c>
      <c r="T40" s="165">
        <v>0.9996982093753914</v>
      </c>
      <c r="U40" s="165">
        <v>0.9997091429067089</v>
      </c>
      <c r="V40" s="165">
        <v>0.9997197067231842</v>
      </c>
      <c r="W40" s="165">
        <v>0.9997299123060376</v>
      </c>
      <c r="X40" s="165">
        <v>0.9997397708175726</v>
      </c>
      <c r="Y40" s="165">
        <v>0.9997492931087196</v>
      </c>
      <c r="Z40" s="165">
        <v>0.9997584897264333</v>
      </c>
    </row>
    <row r="41" spans="1:26" ht="12" customHeight="1" thickBot="1">
      <c r="A41" s="166"/>
      <c r="B41" s="166"/>
      <c r="C41" s="166"/>
      <c r="D41" s="170" t="s">
        <v>111</v>
      </c>
      <c r="E41" s="170" t="s">
        <v>125</v>
      </c>
      <c r="F41" s="170" t="s">
        <v>126</v>
      </c>
      <c r="G41" s="170" t="s">
        <v>127</v>
      </c>
      <c r="H41" s="170" t="s">
        <v>128</v>
      </c>
      <c r="I41" s="170" t="s">
        <v>129</v>
      </c>
      <c r="J41" s="170" t="s">
        <v>130</v>
      </c>
      <c r="K41" s="170" t="s">
        <v>131</v>
      </c>
      <c r="L41" s="170" t="s">
        <v>132</v>
      </c>
      <c r="M41" s="170" t="s">
        <v>133</v>
      </c>
      <c r="N41" s="170" t="s">
        <v>134</v>
      </c>
      <c r="P41" s="171">
        <v>3.5000000000000018</v>
      </c>
      <c r="Q41" s="165">
        <v>0.9997673709209641</v>
      </c>
      <c r="R41" s="165">
        <v>0.9997759466530091</v>
      </c>
      <c r="S41" s="165">
        <v>0.9997842266007055</v>
      </c>
      <c r="T41" s="165">
        <v>0.9997922201665208</v>
      </c>
      <c r="U41" s="165">
        <v>0.999799936483994</v>
      </c>
      <c r="V41" s="165">
        <v>0.999807384424365</v>
      </c>
      <c r="W41" s="165">
        <v>0.9998145726030652</v>
      </c>
      <c r="X41" s="165">
        <v>0.9998215093860952</v>
      </c>
      <c r="Y41" s="165">
        <v>0.999828202896254</v>
      </c>
      <c r="Z41" s="165">
        <v>0.9998346610192808</v>
      </c>
    </row>
    <row r="42" spans="1:26" ht="12.75">
      <c r="A42" s="166"/>
      <c r="B42" s="166"/>
      <c r="C42" s="166"/>
      <c r="D42" s="171">
        <v>0</v>
      </c>
      <c r="E42" s="165">
        <v>0.5</v>
      </c>
      <c r="F42" s="165">
        <v>0.5039893563146316</v>
      </c>
      <c r="G42" s="165">
        <v>0.5079783137169019</v>
      </c>
      <c r="H42" s="165">
        <v>0.5119664734141126</v>
      </c>
      <c r="I42" s="165">
        <v>0.5159534368528308</v>
      </c>
      <c r="J42" s="165">
        <v>0.5199388058383725</v>
      </c>
      <c r="K42" s="165">
        <v>0.5239221826541068</v>
      </c>
      <c r="L42" s="165">
        <v>0.5279031701805211</v>
      </c>
      <c r="M42" s="165">
        <v>0.5318813720139873</v>
      </c>
      <c r="N42" s="165">
        <v>0.5358563925851721</v>
      </c>
      <c r="P42" s="171">
        <v>3.600000000000002</v>
      </c>
      <c r="Q42" s="165">
        <v>0.999840891409842</v>
      </c>
      <c r="R42" s="165">
        <v>0.9998469014974267</v>
      </c>
      <c r="S42" s="165">
        <v>0.9998526984920927</v>
      </c>
      <c r="T42" s="165">
        <v>0.9998582893901249</v>
      </c>
      <c r="U42" s="165">
        <v>0.9998636809795542</v>
      </c>
      <c r="V42" s="165">
        <v>0.9998688798455808</v>
      </c>
      <c r="W42" s="165">
        <v>0.9998738923758592</v>
      </c>
      <c r="X42" s="165">
        <v>0.9998787247657144</v>
      </c>
      <c r="Y42" s="165">
        <v>0.999883383023184</v>
      </c>
      <c r="Z42" s="165">
        <v>0.9998878729740189</v>
      </c>
    </row>
    <row r="43" spans="1:26" ht="12.75">
      <c r="A43" s="166"/>
      <c r="B43" s="166"/>
      <c r="C43" s="166"/>
      <c r="D43" s="171">
        <v>0.1</v>
      </c>
      <c r="E43" s="165">
        <v>0.539827837277029</v>
      </c>
      <c r="F43" s="165">
        <v>0.5437953125423168</v>
      </c>
      <c r="G43" s="165">
        <v>0.5477584260205839</v>
      </c>
      <c r="H43" s="165">
        <v>0.5517167866545611</v>
      </c>
      <c r="I43" s="165">
        <v>0.5556700048059064</v>
      </c>
      <c r="J43" s="165">
        <v>0.5596176923702425</v>
      </c>
      <c r="K43" s="165">
        <v>0.5635594628914329</v>
      </c>
      <c r="L43" s="165">
        <v>0.5674949316750384</v>
      </c>
      <c r="M43" s="165">
        <v>0.5714237159009007</v>
      </c>
      <c r="N43" s="165">
        <v>0.5753454347347955</v>
      </c>
      <c r="P43" s="171">
        <v>3.700000000000002</v>
      </c>
      <c r="Q43" s="165">
        <v>0.999892200266522</v>
      </c>
      <c r="R43" s="165">
        <v>0.9998963703763242</v>
      </c>
      <c r="S43" s="165">
        <v>0.9999003886110253</v>
      </c>
      <c r="T43" s="165">
        <v>0.999904260114733</v>
      </c>
      <c r="U43" s="165">
        <v>0.9999079898725252</v>
      </c>
      <c r="V43" s="165">
        <v>0.9999115827148002</v>
      </c>
      <c r="W43" s="165">
        <v>0.9999150433215042</v>
      </c>
      <c r="X43" s="165">
        <v>0.999918376226299</v>
      </c>
      <c r="Y43" s="165">
        <v>0.9999215858206165</v>
      </c>
      <c r="Z43" s="165">
        <v>0.999924676357622</v>
      </c>
    </row>
    <row r="44" spans="1:26" ht="12.75">
      <c r="A44" s="166"/>
      <c r="B44" s="166"/>
      <c r="C44" s="166"/>
      <c r="D44" s="171">
        <v>0.2</v>
      </c>
      <c r="E44" s="165">
        <v>0.579259709439103</v>
      </c>
      <c r="F44" s="165">
        <v>0.5831661634824423</v>
      </c>
      <c r="G44" s="165">
        <v>0.5870644226482147</v>
      </c>
      <c r="H44" s="165">
        <v>0.5909541151420059</v>
      </c>
      <c r="I44" s="165">
        <v>0.5948348716977958</v>
      </c>
      <c r="J44" s="165">
        <v>0.5987063256829237</v>
      </c>
      <c r="K44" s="165">
        <v>0.6025681132017605</v>
      </c>
      <c r="L44" s="165">
        <v>0.6064198731980395</v>
      </c>
      <c r="M44" s="165">
        <v>0.6102612475557972</v>
      </c>
      <c r="N44" s="165">
        <v>0.6140918811988774</v>
      </c>
      <c r="P44" s="171">
        <v>3.800000000000002</v>
      </c>
      <c r="Q44" s="165">
        <v>0.9999276519560756</v>
      </c>
      <c r="R44" s="165">
        <v>0.9999305166041177</v>
      </c>
      <c r="S44" s="165">
        <v>0.9999332741629698</v>
      </c>
      <c r="T44" s="165">
        <v>0.9999359283705092</v>
      </c>
      <c r="U44" s="165">
        <v>0.9999384828448187</v>
      </c>
      <c r="V44" s="165">
        <v>0.999940941087582</v>
      </c>
      <c r="W44" s="165">
        <v>0.9999433064874635</v>
      </c>
      <c r="X44" s="165">
        <v>0.9999455823233683</v>
      </c>
      <c r="Y44" s="165">
        <v>0.9999477717675965</v>
      </c>
      <c r="Z44" s="165">
        <v>0.9999498778890042</v>
      </c>
    </row>
    <row r="45" spans="1:26" ht="12.75">
      <c r="A45" s="166"/>
      <c r="B45" s="166"/>
      <c r="C45" s="166"/>
      <c r="D45" s="171">
        <v>0.30000000000000004</v>
      </c>
      <c r="E45" s="165">
        <v>0.6179114221889527</v>
      </c>
      <c r="F45" s="165">
        <v>0.6217195218220193</v>
      </c>
      <c r="G45" s="165">
        <v>0.6255158347233201</v>
      </c>
      <c r="H45" s="165">
        <v>0.6293000189406536</v>
      </c>
      <c r="I45" s="165">
        <v>0.6330717360360281</v>
      </c>
      <c r="J45" s="165">
        <v>0.6368306511756191</v>
      </c>
      <c r="K45" s="165">
        <v>0.6405764332179913</v>
      </c>
      <c r="L45" s="165">
        <v>0.6443087548005468</v>
      </c>
      <c r="M45" s="165">
        <v>0.6480272924241628</v>
      </c>
      <c r="N45" s="165">
        <v>0.6517317265359824</v>
      </c>
      <c r="P45" s="171">
        <v>3.900000000000002</v>
      </c>
      <c r="Q45" s="165">
        <v>0.9999519036559821</v>
      </c>
      <c r="R45" s="165">
        <v>0.9999538519394435</v>
      </c>
      <c r="S45" s="165">
        <v>0.999955725515683</v>
      </c>
      <c r="T45" s="165">
        <v>0.9999575270692137</v>
      </c>
      <c r="U45" s="165">
        <v>0.9999592591954402</v>
      </c>
      <c r="V45" s="165">
        <v>0.9999609244034011</v>
      </c>
      <c r="W45" s="165">
        <v>0.9999625251183089</v>
      </c>
      <c r="X45" s="165">
        <v>0.9999640636840943</v>
      </c>
      <c r="Y45" s="165">
        <v>0.9999655423658864</v>
      </c>
      <c r="Z45" s="165">
        <v>0.999966963352368</v>
      </c>
    </row>
    <row r="46" spans="1:26" ht="13.5" thickBot="1">
      <c r="A46" s="166"/>
      <c r="B46" s="166"/>
      <c r="C46" s="166"/>
      <c r="D46" s="171">
        <v>0.4</v>
      </c>
      <c r="E46" s="165">
        <v>0.6554217416103242</v>
      </c>
      <c r="F46" s="165">
        <v>0.6590970262276774</v>
      </c>
      <c r="G46" s="165">
        <v>0.6627572731517505</v>
      </c>
      <c r="H46" s="165">
        <v>0.6664021794045423</v>
      </c>
      <c r="I46" s="165">
        <v>0.6700314463394064</v>
      </c>
      <c r="J46" s="165">
        <v>0.6736447797120799</v>
      </c>
      <c r="K46" s="165">
        <v>0.6772418897496522</v>
      </c>
      <c r="L46" s="165">
        <v>0.6808224912174442</v>
      </c>
      <c r="M46" s="165">
        <v>0.6843863034837774</v>
      </c>
      <c r="N46" s="165">
        <v>0.6879330505826095</v>
      </c>
      <c r="P46" s="170" t="s">
        <v>111</v>
      </c>
      <c r="Q46" s="170" t="s">
        <v>125</v>
      </c>
      <c r="R46" s="170" t="s">
        <v>126</v>
      </c>
      <c r="S46" s="170" t="s">
        <v>127</v>
      </c>
      <c r="T46" s="170" t="s">
        <v>128</v>
      </c>
      <c r="U46" s="170" t="s">
        <v>129</v>
      </c>
      <c r="V46" s="170" t="s">
        <v>130</v>
      </c>
      <c r="W46" s="170" t="s">
        <v>131</v>
      </c>
      <c r="X46" s="170" t="s">
        <v>132</v>
      </c>
      <c r="Y46" s="170" t="s">
        <v>133</v>
      </c>
      <c r="Z46" s="170" t="s">
        <v>134</v>
      </c>
    </row>
    <row r="47" spans="1:14" ht="12.75">
      <c r="A47" s="166"/>
      <c r="B47" s="166"/>
      <c r="C47" s="166"/>
      <c r="D47" s="171">
        <v>0.5</v>
      </c>
      <c r="E47" s="165">
        <v>0.6914624612740131</v>
      </c>
      <c r="F47" s="165">
        <v>0.6949742691024805</v>
      </c>
      <c r="G47" s="165">
        <v>0.6984682124530338</v>
      </c>
      <c r="H47" s="165">
        <v>0.7019440346051236</v>
      </c>
      <c r="I47" s="165">
        <v>0.7054014837843019</v>
      </c>
      <c r="J47" s="165">
        <v>0.7088403132116536</v>
      </c>
      <c r="K47" s="165">
        <v>0.712260281150973</v>
      </c>
      <c r="L47" s="165">
        <v>0.7156611509536759</v>
      </c>
      <c r="M47" s="165">
        <v>0.7190426911014356</v>
      </c>
      <c r="N47" s="165">
        <v>0.7224046752465351</v>
      </c>
    </row>
    <row r="48" spans="1:14" ht="12.75">
      <c r="A48" s="166"/>
      <c r="B48" s="166"/>
      <c r="C48" s="166"/>
      <c r="D48" s="171">
        <v>0.6</v>
      </c>
      <c r="E48" s="165">
        <v>0.7257468822499263</v>
      </c>
      <c r="F48" s="165">
        <v>0.7290690962169943</v>
      </c>
      <c r="G48" s="165">
        <v>0.732371106531017</v>
      </c>
      <c r="H48" s="165">
        <v>0.7356527078843225</v>
      </c>
      <c r="I48" s="165">
        <v>0.7389137003071384</v>
      </c>
      <c r="J48" s="165">
        <v>0.7421538891941353</v>
      </c>
      <c r="K48" s="165">
        <v>0.7453730853286639</v>
      </c>
      <c r="L48" s="165">
        <v>0.7485711049046899</v>
      </c>
      <c r="M48" s="165">
        <v>0.7517477695464294</v>
      </c>
      <c r="N48" s="165">
        <v>0.7549029063256906</v>
      </c>
    </row>
    <row r="49" spans="1:14" ht="12.75">
      <c r="A49" s="166"/>
      <c r="B49" s="166"/>
      <c r="C49" s="166"/>
      <c r="D49" s="171">
        <v>0.7</v>
      </c>
      <c r="E49" s="165">
        <v>0.758036347776927</v>
      </c>
      <c r="F49" s="165">
        <v>0.7611479319100133</v>
      </c>
      <c r="G49" s="165">
        <v>0.7642375022207488</v>
      </c>
      <c r="H49" s="165">
        <v>0.7673049076991025</v>
      </c>
      <c r="I49" s="165">
        <v>0.7703500028352094</v>
      </c>
      <c r="J49" s="165">
        <v>0.7733726476231317</v>
      </c>
      <c r="K49" s="165">
        <v>0.7763727075624005</v>
      </c>
      <c r="L49" s="165">
        <v>0.7793500536573503</v>
      </c>
      <c r="M49" s="165">
        <v>0.7823045624142668</v>
      </c>
      <c r="N49" s="165">
        <v>0.7852361158363629</v>
      </c>
    </row>
    <row r="50" spans="1:14" ht="12.75">
      <c r="A50" s="166"/>
      <c r="B50" s="166"/>
      <c r="C50" s="166"/>
      <c r="D50" s="171">
        <v>0.7999999999999999</v>
      </c>
      <c r="E50" s="165">
        <v>0.7881446014166031</v>
      </c>
      <c r="F50" s="165">
        <v>0.7910299121283983</v>
      </c>
      <c r="G50" s="165">
        <v>0.7938919464141869</v>
      </c>
      <c r="H50" s="165">
        <v>0.7967306081719315</v>
      </c>
      <c r="I50" s="165">
        <v>0.7995458067395502</v>
      </c>
      <c r="J50" s="165">
        <v>0.8023374568773076</v>
      </c>
      <c r="K50" s="165">
        <v>0.8051054787481915</v>
      </c>
      <c r="L50" s="165">
        <v>0.8078497978963038</v>
      </c>
      <c r="M50" s="165">
        <v>0.8105703452232879</v>
      </c>
      <c r="N50" s="165">
        <v>0.8132670569628273</v>
      </c>
    </row>
    <row r="51" spans="1:14" ht="12.75">
      <c r="A51" s="166"/>
      <c r="B51" s="166"/>
      <c r="C51" s="166"/>
      <c r="D51" s="171">
        <v>0.8999999999999999</v>
      </c>
      <c r="E51" s="165">
        <v>0.8159398746532405</v>
      </c>
      <c r="F51" s="165">
        <v>0.8185887451082027</v>
      </c>
      <c r="G51" s="165">
        <v>0.8212136203856282</v>
      </c>
      <c r="H51" s="165">
        <v>0.823814457754742</v>
      </c>
      <c r="I51" s="165">
        <v>0.8263912196613753</v>
      </c>
      <c r="J51" s="165">
        <v>0.8289438736915181</v>
      </c>
      <c r="K51" s="165">
        <v>0.8314723925331622</v>
      </c>
      <c r="L51" s="165">
        <v>0.8339767539364704</v>
      </c>
      <c r="M51" s="165">
        <v>0.8364569406723075</v>
      </c>
      <c r="N51" s="165">
        <v>0.838912940489169</v>
      </c>
    </row>
    <row r="52" spans="1:14" ht="12.75" customHeight="1" thickBot="1">
      <c r="A52" s="166"/>
      <c r="B52" s="166"/>
      <c r="C52" s="166"/>
      <c r="D52" s="170" t="s">
        <v>111</v>
      </c>
      <c r="E52" s="170" t="s">
        <v>125</v>
      </c>
      <c r="F52" s="170" t="s">
        <v>126</v>
      </c>
      <c r="G52" s="170" t="s">
        <v>127</v>
      </c>
      <c r="H52" s="170" t="s">
        <v>128</v>
      </c>
      <c r="I52" s="170" t="s">
        <v>129</v>
      </c>
      <c r="J52" s="170" t="s">
        <v>130</v>
      </c>
      <c r="K52" s="170" t="s">
        <v>131</v>
      </c>
      <c r="L52" s="170" t="s">
        <v>132</v>
      </c>
      <c r="M52" s="170" t="s">
        <v>133</v>
      </c>
      <c r="N52" s="170" t="s">
        <v>134</v>
      </c>
    </row>
    <row r="53" spans="1:14" ht="12.75">
      <c r="A53" s="166"/>
      <c r="B53" s="166"/>
      <c r="C53" s="166"/>
      <c r="D53" s="171">
        <v>0.9999999999999999</v>
      </c>
      <c r="E53" s="165">
        <v>0.8413447460685429</v>
      </c>
      <c r="F53" s="165">
        <v>0.8437523549787453</v>
      </c>
      <c r="G53" s="165">
        <v>0.8461357696272651</v>
      </c>
      <c r="H53" s="165">
        <v>0.8484949972116562</v>
      </c>
      <c r="I53" s="165">
        <v>0.8508300496690184</v>
      </c>
      <c r="J53" s="165">
        <v>0.853140943624104</v>
      </c>
      <c r="K53" s="165">
        <v>0.8554277003360904</v>
      </c>
      <c r="L53" s="165">
        <v>0.8576903456440607</v>
      </c>
      <c r="M53" s="165">
        <v>0.8599289099112308</v>
      </c>
      <c r="N53" s="165">
        <v>0.8621434279679644</v>
      </c>
    </row>
    <row r="54" spans="1:14" ht="12.75">
      <c r="A54" s="166"/>
      <c r="B54" s="166"/>
      <c r="C54" s="166"/>
      <c r="D54" s="171">
        <v>1.0999999999999999</v>
      </c>
      <c r="E54" s="165">
        <v>0.8643339390536173</v>
      </c>
      <c r="F54" s="165">
        <v>0.8665004867572528</v>
      </c>
      <c r="G54" s="165">
        <v>0.8686431189572694</v>
      </c>
      <c r="H54" s="165">
        <v>0.8707618877599823</v>
      </c>
      <c r="I54" s="165">
        <v>0.8728568494372018</v>
      </c>
      <c r="J54" s="165">
        <v>0.8749280643628496</v>
      </c>
      <c r="K54" s="165">
        <v>0.8769755969486566</v>
      </c>
      <c r="L54" s="165">
        <v>0.8789995155789817</v>
      </c>
      <c r="M54" s="165">
        <v>0.8809998925447993</v>
      </c>
      <c r="N54" s="165">
        <v>0.8829768039768913</v>
      </c>
    </row>
    <row r="55" spans="1:14" ht="12.75">
      <c r="A55" s="166"/>
      <c r="B55" s="166"/>
      <c r="C55" s="166"/>
      <c r="D55" s="171">
        <v>1.2</v>
      </c>
      <c r="E55" s="165">
        <v>0.8849303297782918</v>
      </c>
      <c r="F55" s="165">
        <v>0.8868605535560228</v>
      </c>
      <c r="G55" s="165">
        <v>0.8887675625521652</v>
      </c>
      <c r="H55" s="165">
        <v>0.8906514475743081</v>
      </c>
      <c r="I55" s="165">
        <v>0.8925123029254132</v>
      </c>
      <c r="J55" s="165">
        <v>0.8943502263331446</v>
      </c>
      <c r="K55" s="165">
        <v>0.8961653188786995</v>
      </c>
      <c r="L55" s="165">
        <v>0.8979576849251809</v>
      </c>
      <c r="M55" s="165">
        <v>0.8997274320455579</v>
      </c>
      <c r="N55" s="165">
        <v>0.9014746709502521</v>
      </c>
    </row>
    <row r="56" spans="1:14" ht="12.75">
      <c r="A56" s="166"/>
      <c r="B56" s="166"/>
      <c r="C56" s="166"/>
      <c r="D56" s="171">
        <v>1.3</v>
      </c>
      <c r="E56" s="165">
        <v>0.9031995154143897</v>
      </c>
      <c r="F56" s="165">
        <v>0.904902082204761</v>
      </c>
      <c r="G56" s="165">
        <v>0.9065824910065281</v>
      </c>
      <c r="H56" s="165">
        <v>0.9082408643497192</v>
      </c>
      <c r="I56" s="165">
        <v>0.9098773275355475</v>
      </c>
      <c r="J56" s="165">
        <v>0.911492008562598</v>
      </c>
      <c r="K56" s="165">
        <v>0.913085038052915</v>
      </c>
      <c r="L56" s="165">
        <v>0.914656549178033</v>
      </c>
      <c r="M56" s="165">
        <v>0.9162066775849859</v>
      </c>
      <c r="N56" s="165">
        <v>0.917735561322331</v>
      </c>
    </row>
    <row r="57" spans="1:14" ht="12.75">
      <c r="A57" s="166"/>
      <c r="B57" s="166"/>
      <c r="C57" s="166"/>
      <c r="D57" s="171">
        <v>1.4000000000000001</v>
      </c>
      <c r="E57" s="165">
        <v>0.9192433407662289</v>
      </c>
      <c r="F57" s="165">
        <v>0.9207301585466074</v>
      </c>
      <c r="G57" s="165">
        <v>0.9221961594734536</v>
      </c>
      <c r="H57" s="165">
        <v>0.923641490463261</v>
      </c>
      <c r="I57" s="165">
        <v>0.925066300465673</v>
      </c>
      <c r="J57" s="165">
        <v>0.9264707403903516</v>
      </c>
      <c r="K57" s="165">
        <v>0.9278549630341062</v>
      </c>
      <c r="L57" s="165">
        <v>0.9292191230083144</v>
      </c>
      <c r="M57" s="165">
        <v>0.9305633766666682</v>
      </c>
      <c r="N57" s="165">
        <v>0.9318878820332746</v>
      </c>
    </row>
    <row r="58" spans="1:14" ht="12.75">
      <c r="A58" s="166"/>
      <c r="B58" s="166"/>
      <c r="C58" s="166"/>
      <c r="D58" s="171">
        <v>1.5000000000000002</v>
      </c>
      <c r="E58" s="165">
        <v>0.9331927987311419</v>
      </c>
      <c r="F58" s="165">
        <v>0.9344782879110834</v>
      </c>
      <c r="G58" s="165">
        <v>0.9357445121810641</v>
      </c>
      <c r="H58" s="165">
        <v>0.9369916355360215</v>
      </c>
      <c r="I58" s="165">
        <v>0.9382198232881882</v>
      </c>
      <c r="J58" s="165">
        <v>0.9394292419979411</v>
      </c>
      <c r="K58" s="165">
        <v>0.940620059405207</v>
      </c>
      <c r="L58" s="165">
        <v>0.941792444361447</v>
      </c>
      <c r="M58" s="165">
        <v>0.9429465667622459</v>
      </c>
      <c r="N58" s="165">
        <v>0.9440825974805305</v>
      </c>
    </row>
    <row r="59" spans="1:14" ht="12.75">
      <c r="A59" s="166"/>
      <c r="B59" s="166"/>
      <c r="C59" s="166"/>
      <c r="D59" s="171">
        <v>1.6000000000000003</v>
      </c>
      <c r="E59" s="165">
        <v>0.9452007083004421</v>
      </c>
      <c r="F59" s="165">
        <v>0.9463010718518803</v>
      </c>
      <c r="G59" s="165">
        <v>0.9473838615457479</v>
      </c>
      <c r="H59" s="165">
        <v>0.9484492515099106</v>
      </c>
      <c r="I59" s="165">
        <v>0.949497416525896</v>
      </c>
      <c r="J59" s="165">
        <v>0.9505285319663519</v>
      </c>
      <c r="K59" s="165">
        <v>0.9515427737332772</v>
      </c>
      <c r="L59" s="165">
        <v>0.9525403181970526</v>
      </c>
      <c r="M59" s="165">
        <v>0.9535213421362799</v>
      </c>
      <c r="N59" s="165">
        <v>0.9544860226784502</v>
      </c>
    </row>
    <row r="60" spans="1:14" ht="12.75">
      <c r="A60" s="166"/>
      <c r="B60" s="166"/>
      <c r="C60" s="166"/>
      <c r="D60" s="171">
        <v>1.7000000000000004</v>
      </c>
      <c r="E60" s="165">
        <v>0.955434537241457</v>
      </c>
      <c r="F60" s="165">
        <v>0.956367063475968</v>
      </c>
      <c r="G60" s="165">
        <v>0.9572837792086712</v>
      </c>
      <c r="H60" s="165">
        <v>0.958184862386405</v>
      </c>
      <c r="I60" s="165">
        <v>0.9590704910211927</v>
      </c>
      <c r="J60" s="165">
        <v>0.959940843136183</v>
      </c>
      <c r="K60" s="165">
        <v>0.9607960967125173</v>
      </c>
      <c r="L60" s="165">
        <v>0.9616364296371287</v>
      </c>
      <c r="M60" s="165">
        <v>0.962462019651483</v>
      </c>
      <c r="N60" s="165">
        <v>0.9632730443012738</v>
      </c>
    </row>
    <row r="61" spans="1:14" ht="12.75">
      <c r="A61" s="166"/>
      <c r="B61" s="166"/>
      <c r="C61" s="166"/>
      <c r="D61" s="171">
        <v>1.8000000000000005</v>
      </c>
      <c r="E61" s="165">
        <v>0.9640696808870742</v>
      </c>
      <c r="F61" s="165">
        <v>0.9648521064159614</v>
      </c>
      <c r="G61" s="165">
        <v>0.9656204975541101</v>
      </c>
      <c r="H61" s="165">
        <v>0.9663750305803718</v>
      </c>
      <c r="I61" s="165">
        <v>0.9671158813408363</v>
      </c>
      <c r="J61" s="165">
        <v>0.9678432252043865</v>
      </c>
      <c r="K61" s="165">
        <v>0.9685572370192472</v>
      </c>
      <c r="L61" s="165">
        <v>0.9692580910705341</v>
      </c>
      <c r="M61" s="165">
        <v>0.9699459610388003</v>
      </c>
      <c r="N61" s="165">
        <v>0.9706210199595907</v>
      </c>
    </row>
    <row r="62" spans="1:14" ht="12.75">
      <c r="A62" s="166"/>
      <c r="B62" s="166"/>
      <c r="C62" s="166"/>
      <c r="D62" s="171">
        <v>1.9000000000000006</v>
      </c>
      <c r="E62" s="165">
        <v>0.971283440183998</v>
      </c>
      <c r="F62" s="165">
        <v>0.9719333933402274</v>
      </c>
      <c r="G62" s="165">
        <v>0.9725710502961633</v>
      </c>
      <c r="H62" s="165">
        <v>0.9731965811229449</v>
      </c>
      <c r="I62" s="165">
        <v>0.9738101550595473</v>
      </c>
      <c r="J62" s="165">
        <v>0.9744119404783613</v>
      </c>
      <c r="K62" s="165">
        <v>0.9750021048517796</v>
      </c>
      <c r="L62" s="165">
        <v>0.9755808147197778</v>
      </c>
      <c r="M62" s="165">
        <v>0.9761482356584915</v>
      </c>
      <c r="N62" s="165">
        <v>0.9767045322497883</v>
      </c>
    </row>
    <row r="63" spans="1:14" ht="12" customHeight="1" thickBot="1">
      <c r="A63" s="166"/>
      <c r="B63" s="166"/>
      <c r="C63" s="166"/>
      <c r="D63" s="170" t="s">
        <v>111</v>
      </c>
      <c r="E63" s="170" t="s">
        <v>125</v>
      </c>
      <c r="F63" s="170" t="s">
        <v>126</v>
      </c>
      <c r="G63" s="170" t="s">
        <v>127</v>
      </c>
      <c r="H63" s="170" t="s">
        <v>128</v>
      </c>
      <c r="I63" s="170" t="s">
        <v>129</v>
      </c>
      <c r="J63" s="170" t="s">
        <v>130</v>
      </c>
      <c r="K63" s="170" t="s">
        <v>131</v>
      </c>
      <c r="L63" s="170" t="s">
        <v>132</v>
      </c>
      <c r="M63" s="170" t="s">
        <v>133</v>
      </c>
      <c r="N63" s="170" t="s">
        <v>134</v>
      </c>
    </row>
    <row r="64" spans="1:14" ht="12.75">
      <c r="A64" s="166"/>
      <c r="B64" s="166"/>
      <c r="C64" s="166"/>
      <c r="D64" s="171">
        <v>2.0000000000000004</v>
      </c>
      <c r="E64" s="165">
        <v>0.9772498680518207</v>
      </c>
      <c r="F64" s="165">
        <v>0.9777844055705684</v>
      </c>
      <c r="G64" s="165">
        <v>0.9783083062323531</v>
      </c>
      <c r="H64" s="165">
        <v>0.9788217303573277</v>
      </c>
      <c r="I64" s="165">
        <v>0.97932483713393</v>
      </c>
      <c r="J64" s="165">
        <v>0.9798177845942956</v>
      </c>
      <c r="K64" s="165">
        <v>0.9803007295906233</v>
      </c>
      <c r="L64" s="165">
        <v>0.9807738277724827</v>
      </c>
      <c r="M64" s="165">
        <v>0.9812372335650621</v>
      </c>
      <c r="N64" s="165">
        <v>0.981691100148341</v>
      </c>
    </row>
    <row r="65" spans="1:14" ht="12.75">
      <c r="A65" s="166"/>
      <c r="B65" s="166"/>
      <c r="C65" s="166"/>
      <c r="D65" s="171">
        <v>2.1000000000000005</v>
      </c>
      <c r="E65" s="165">
        <v>0.9821355794371835</v>
      </c>
      <c r="F65" s="165">
        <v>0.982570822062343</v>
      </c>
      <c r="G65" s="165">
        <v>0.9829969773523671</v>
      </c>
      <c r="H65" s="165">
        <v>0.9834141933163949</v>
      </c>
      <c r="I65" s="165">
        <v>0.983822616627834</v>
      </c>
      <c r="J65" s="165">
        <v>0.9842223926089095</v>
      </c>
      <c r="K65" s="165">
        <v>0.9846136652160744</v>
      </c>
      <c r="L65" s="165">
        <v>0.9849965770262676</v>
      </c>
      <c r="M65" s="165">
        <v>0.9853712692240109</v>
      </c>
      <c r="N65" s="165">
        <v>0.9857378815893312</v>
      </c>
    </row>
    <row r="66" spans="1:14" ht="12.75">
      <c r="A66" s="166"/>
      <c r="B66" s="166"/>
      <c r="C66" s="166"/>
      <c r="D66" s="171">
        <v>2.2000000000000006</v>
      </c>
      <c r="E66" s="165">
        <v>0.9860965524865013</v>
      </c>
      <c r="F66" s="165">
        <v>0.9864474188535801</v>
      </c>
      <c r="G66" s="165">
        <v>0.986790616192744</v>
      </c>
      <c r="H66" s="165">
        <v>0.9871262785613979</v>
      </c>
      <c r="I66" s="165">
        <v>0.9874545385640535</v>
      </c>
      <c r="J66" s="165">
        <v>0.9877755273449556</v>
      </c>
      <c r="K66" s="165">
        <v>0.988089374581453</v>
      </c>
      <c r="L66" s="165">
        <v>0.9883962084780964</v>
      </c>
      <c r="M66" s="165">
        <v>0.9886961557614471</v>
      </c>
      <c r="N66" s="165">
        <v>0.9889893416755885</v>
      </c>
    </row>
    <row r="67" spans="1:14" ht="12.75">
      <c r="A67" s="166"/>
      <c r="B67" s="166"/>
      <c r="C67" s="166"/>
      <c r="D67" s="171">
        <v>2.3000000000000007</v>
      </c>
      <c r="E67" s="165">
        <v>0.9892758899783238</v>
      </c>
      <c r="F67" s="165">
        <v>0.989555922938049</v>
      </c>
      <c r="G67" s="165">
        <v>0.9898295613312802</v>
      </c>
      <c r="H67" s="165">
        <v>0.9900969244408357</v>
      </c>
      <c r="I67" s="165">
        <v>0.9903581300546416</v>
      </c>
      <c r="J67" s="165">
        <v>0.9906132944651613</v>
      </c>
      <c r="K67" s="165">
        <v>0.9908625324694273</v>
      </c>
      <c r="L67" s="165">
        <v>0.991105957369663</v>
      </c>
      <c r="M67" s="165">
        <v>0.9913436809744836</v>
      </c>
      <c r="N67" s="165">
        <v>0.9915758136006545</v>
      </c>
    </row>
    <row r="68" spans="1:14" ht="12.75">
      <c r="A68" s="166"/>
      <c r="B68" s="166"/>
      <c r="C68" s="166"/>
      <c r="D68" s="171">
        <v>2.400000000000001</v>
      </c>
      <c r="E68" s="165">
        <v>0.991802464075404</v>
      </c>
      <c r="F68" s="165">
        <v>0.9920237397392663</v>
      </c>
      <c r="G68" s="165">
        <v>0.9922397464494463</v>
      </c>
      <c r="H68" s="165">
        <v>0.992450588583691</v>
      </c>
      <c r="I68" s="165">
        <v>0.9926563690446517</v>
      </c>
      <c r="J68" s="165">
        <v>0.9928571892647285</v>
      </c>
      <c r="K68" s="165">
        <v>0.9930531492113759</v>
      </c>
      <c r="L68" s="165">
        <v>0.9932443473928594</v>
      </c>
      <c r="M68" s="165">
        <v>0.9934308808644533</v>
      </c>
      <c r="N68" s="165">
        <v>0.993612845235057</v>
      </c>
    </row>
    <row r="69" spans="1:14" ht="12.75">
      <c r="A69" s="166"/>
      <c r="B69" s="166"/>
      <c r="C69" s="166"/>
      <c r="D69" s="171">
        <v>2.500000000000001</v>
      </c>
      <c r="E69" s="165">
        <v>0.993790334674224</v>
      </c>
      <c r="F69" s="165">
        <v>0.9939634419195874</v>
      </c>
      <c r="G69" s="165">
        <v>0.9941322582846674</v>
      </c>
      <c r="H69" s="165">
        <v>0.9942968736670494</v>
      </c>
      <c r="I69" s="165">
        <v>0.9944573765569176</v>
      </c>
      <c r="J69" s="165">
        <v>0.9946138540459332</v>
      </c>
      <c r="K69" s="165">
        <v>0.9947663918364442</v>
      </c>
      <c r="L69" s="165">
        <v>0.9949150742510089</v>
      </c>
      <c r="M69" s="165">
        <v>0.9950599842422293</v>
      </c>
      <c r="N69" s="165">
        <v>0.9952012034028739</v>
      </c>
    </row>
    <row r="70" spans="1:14" ht="12.75">
      <c r="A70" s="166"/>
      <c r="B70" s="166"/>
      <c r="C70" s="166"/>
      <c r="D70" s="171">
        <v>2.600000000000001</v>
      </c>
      <c r="E70" s="165">
        <v>0.9953388119762813</v>
      </c>
      <c r="F70" s="165">
        <v>0.9954728888670328</v>
      </c>
      <c r="G70" s="165">
        <v>0.9956035116518789</v>
      </c>
      <c r="H70" s="165">
        <v>0.9957307565909106</v>
      </c>
      <c r="I70" s="165">
        <v>0.995854698638964</v>
      </c>
      <c r="J70" s="165">
        <v>0.9959754114572417</v>
      </c>
      <c r="K70" s="165">
        <v>0.9960929674251471</v>
      </c>
      <c r="L70" s="165">
        <v>0.9962074376523145</v>
      </c>
      <c r="M70" s="165">
        <v>0.996318891990825</v>
      </c>
      <c r="N70" s="165">
        <v>0.9964273990476005</v>
      </c>
    </row>
    <row r="71" spans="1:14" ht="12.75">
      <c r="A71" s="166"/>
      <c r="B71" s="166"/>
      <c r="C71" s="166"/>
      <c r="D71" s="171">
        <v>2.700000000000001</v>
      </c>
      <c r="E71" s="165">
        <v>0.9965330261969598</v>
      </c>
      <c r="F71" s="165">
        <v>0.9966358395933308</v>
      </c>
      <c r="G71" s="165">
        <v>0.9967359041841086</v>
      </c>
      <c r="H71" s="165">
        <v>0.9968332837226423</v>
      </c>
      <c r="I71" s="165">
        <v>0.9969280407813494</v>
      </c>
      <c r="J71" s="165">
        <v>0.9970202367649456</v>
      </c>
      <c r="K71" s="165">
        <v>0.9971099319237738</v>
      </c>
      <c r="L71" s="165">
        <v>0.9971971853672349</v>
      </c>
      <c r="M71" s="165">
        <v>0.9972820550772987</v>
      </c>
      <c r="N71" s="165">
        <v>0.9973645979220953</v>
      </c>
    </row>
    <row r="72" spans="1:14" ht="12.75">
      <c r="A72" s="166"/>
      <c r="B72" s="166"/>
      <c r="C72" s="166"/>
      <c r="D72" s="171">
        <v>2.800000000000001</v>
      </c>
      <c r="E72" s="165">
        <v>0.9974448696695721</v>
      </c>
      <c r="F72" s="165">
        <v>0.9975229250012143</v>
      </c>
      <c r="G72" s="165">
        <v>0.9975988175258108</v>
      </c>
      <c r="H72" s="165">
        <v>0.9976725997932685</v>
      </c>
      <c r="I72" s="165">
        <v>0.9977443233084577</v>
      </c>
      <c r="J72" s="165">
        <v>0.9978140385450867</v>
      </c>
      <c r="K72" s="165">
        <v>0.9978817949595952</v>
      </c>
      <c r="L72" s="165">
        <v>0.9979476410050603</v>
      </c>
      <c r="M72" s="165">
        <v>0.9980116241451056</v>
      </c>
      <c r="N72" s="165">
        <v>0.9980737908678121</v>
      </c>
    </row>
    <row r="73" spans="1:14" ht="12.75">
      <c r="A73" s="166"/>
      <c r="B73" s="166"/>
      <c r="C73" s="166"/>
      <c r="D73" s="171">
        <v>2.9000000000000012</v>
      </c>
      <c r="E73" s="165">
        <v>0.9981341866996158</v>
      </c>
      <c r="F73" s="165">
        <v>0.9981928562191937</v>
      </c>
      <c r="G73" s="165">
        <v>0.9982498430713242</v>
      </c>
      <c r="H73" s="165">
        <v>0.9983051899807232</v>
      </c>
      <c r="I73" s="165">
        <v>0.9983589387658429</v>
      </c>
      <c r="J73" s="165">
        <v>0.9984111303526348</v>
      </c>
      <c r="K73" s="165">
        <v>0.9984618047882617</v>
      </c>
      <c r="L73" s="165">
        <v>0.9985110012547624</v>
      </c>
      <c r="M73" s="165">
        <v>0.99855875808266</v>
      </c>
      <c r="N73" s="165">
        <v>0.9986051127645081</v>
      </c>
    </row>
    <row r="74" spans="1:14" ht="13.5" customHeight="1" thickBot="1">
      <c r="A74" s="166"/>
      <c r="B74" s="166"/>
      <c r="C74" s="166"/>
      <c r="D74" s="170" t="s">
        <v>111</v>
      </c>
      <c r="E74" s="170" t="s">
        <v>125</v>
      </c>
      <c r="F74" s="170" t="s">
        <v>126</v>
      </c>
      <c r="G74" s="170" t="s">
        <v>127</v>
      </c>
      <c r="H74" s="170" t="s">
        <v>128</v>
      </c>
      <c r="I74" s="170" t="s">
        <v>129</v>
      </c>
      <c r="J74" s="170" t="s">
        <v>130</v>
      </c>
      <c r="K74" s="170" t="s">
        <v>131</v>
      </c>
      <c r="L74" s="170" t="s">
        <v>132</v>
      </c>
      <c r="M74" s="170" t="s">
        <v>133</v>
      </c>
      <c r="N74" s="170" t="s">
        <v>134</v>
      </c>
    </row>
    <row r="75" spans="1:14" ht="12.75">
      <c r="A75" s="166"/>
      <c r="B75" s="166"/>
      <c r="C75" s="166"/>
      <c r="D75" s="171">
        <v>3.0000000000000013</v>
      </c>
      <c r="E75" s="165">
        <v>0.9986501019683701</v>
      </c>
      <c r="F75" s="165">
        <v>0.9986937615512305</v>
      </c>
      <c r="G75" s="165">
        <v>0.9987361265723278</v>
      </c>
      <c r="H75" s="165">
        <v>0.9987772313064077</v>
      </c>
      <c r="I75" s="165">
        <v>0.9988171092568956</v>
      </c>
      <c r="J75" s="165">
        <v>0.9988557931689772</v>
      </c>
      <c r="K75" s="165">
        <v>0.9988933150425909</v>
      </c>
      <c r="L75" s="165">
        <v>0.9989297061453213</v>
      </c>
      <c r="M75" s="165">
        <v>0.9989649970251975</v>
      </c>
      <c r="N75" s="165">
        <v>0.9989992175233859</v>
      </c>
    </row>
    <row r="76" spans="1:14" ht="12.75">
      <c r="A76" s="166"/>
      <c r="B76" s="166"/>
      <c r="C76" s="166"/>
      <c r="D76" s="171">
        <v>3.1000000000000014</v>
      </c>
      <c r="E76" s="165">
        <v>0.9990323967867818</v>
      </c>
      <c r="F76" s="165">
        <v>0.9990645632804858</v>
      </c>
      <c r="G76" s="165">
        <v>0.9990957448001778</v>
      </c>
      <c r="H76" s="165">
        <v>0.9991259684843683</v>
      </c>
      <c r="I76" s="165">
        <v>0.9991552608265417</v>
      </c>
      <c r="J76" s="165">
        <v>0.9991836476871707</v>
      </c>
      <c r="K76" s="165">
        <v>0.9992111543056245</v>
      </c>
      <c r="L76" s="165">
        <v>0.9992378053119325</v>
      </c>
      <c r="M76" s="165">
        <v>0.999263624738446</v>
      </c>
      <c r="N76" s="165">
        <v>0.9992886360313552</v>
      </c>
    </row>
    <row r="77" spans="1:14" ht="12.75">
      <c r="A77" s="166"/>
      <c r="B77" s="166"/>
      <c r="C77" s="166"/>
      <c r="D77" s="171">
        <v>3.2000000000000015</v>
      </c>
      <c r="E77" s="165">
        <v>0.9993128620620841</v>
      </c>
      <c r="F77" s="165">
        <v>0.9993363251385605</v>
      </c>
      <c r="G77" s="165">
        <v>0.9993590470163396</v>
      </c>
      <c r="H77" s="165">
        <v>0.9993810489096135</v>
      </c>
      <c r="I77" s="165">
        <v>0.9994023515020658</v>
      </c>
      <c r="J77" s="165">
        <v>0.9994229749576101</v>
      </c>
      <c r="K77" s="165">
        <v>0.9994429389309754</v>
      </c>
      <c r="L77" s="165">
        <v>0.99946226257817</v>
      </c>
      <c r="M77" s="165">
        <v>0.9994809645667937</v>
      </c>
      <c r="N77" s="165">
        <v>0.9994990630862143</v>
      </c>
    </row>
    <row r="78" spans="1:14" ht="12.75">
      <c r="A78" s="166"/>
      <c r="B78" s="166"/>
      <c r="C78" s="166"/>
      <c r="D78" s="171">
        <v>3.3000000000000016</v>
      </c>
      <c r="E78" s="165">
        <v>0.9995165758576167</v>
      </c>
      <c r="F78" s="165">
        <v>0.9995335201438931</v>
      </c>
      <c r="G78" s="165">
        <v>0.9995499127594081</v>
      </c>
      <c r="H78" s="165">
        <v>0.9995657700796186</v>
      </c>
      <c r="I78" s="165">
        <v>0.999581108050549</v>
      </c>
      <c r="J78" s="165">
        <v>0.9995959421981355</v>
      </c>
      <c r="K78" s="165">
        <v>0.9996102876374177</v>
      </c>
      <c r="L78" s="165">
        <v>0.9996241590816002</v>
      </c>
      <c r="M78" s="165">
        <v>0.9996375708509669</v>
      </c>
      <c r="N78" s="165">
        <v>0.9996505368816616</v>
      </c>
    </row>
    <row r="79" spans="1:14" ht="12.75">
      <c r="A79" s="166"/>
      <c r="B79" s="166"/>
      <c r="C79" s="166"/>
      <c r="D79" s="171">
        <v>3.4000000000000017</v>
      </c>
      <c r="E79" s="165">
        <v>0.9996630707343231</v>
      </c>
      <c r="F79" s="165">
        <v>0.9996751856025816</v>
      </c>
      <c r="G79" s="165">
        <v>0.9996868943214197</v>
      </c>
      <c r="H79" s="165">
        <v>0.9996982093753914</v>
      </c>
      <c r="I79" s="165">
        <v>0.9997091429067089</v>
      </c>
      <c r="J79" s="165">
        <v>0.9997197067231842</v>
      </c>
      <c r="K79" s="165">
        <v>0.9997299123060376</v>
      </c>
      <c r="L79" s="165">
        <v>0.9997397708175726</v>
      </c>
      <c r="M79" s="165">
        <v>0.9997492931087196</v>
      </c>
      <c r="N79" s="165">
        <v>0.9997584897264333</v>
      </c>
    </row>
    <row r="80" spans="1:14" ht="12.75">
      <c r="A80" s="166"/>
      <c r="B80" s="166"/>
      <c r="C80" s="166"/>
      <c r="D80" s="171">
        <v>3.5000000000000018</v>
      </c>
      <c r="E80" s="165">
        <v>0.9997673709209641</v>
      </c>
      <c r="F80" s="165">
        <v>0.9997759466530091</v>
      </c>
      <c r="G80" s="165">
        <v>0.9997842266007055</v>
      </c>
      <c r="H80" s="165">
        <v>0.9997922201665208</v>
      </c>
      <c r="I80" s="165">
        <v>0.999799936483994</v>
      </c>
      <c r="J80" s="165">
        <v>0.999807384424365</v>
      </c>
      <c r="K80" s="165">
        <v>0.9998145726030652</v>
      </c>
      <c r="L80" s="165">
        <v>0.9998215093860952</v>
      </c>
      <c r="M80" s="165">
        <v>0.999828202896254</v>
      </c>
      <c r="N80" s="165">
        <v>0.9998346610192808</v>
      </c>
    </row>
    <row r="81" spans="1:14" ht="12.75">
      <c r="A81" s="166"/>
      <c r="B81" s="166"/>
      <c r="C81" s="166"/>
      <c r="D81" s="171">
        <v>3.600000000000002</v>
      </c>
      <c r="E81" s="165">
        <v>0.999840891409842</v>
      </c>
      <c r="F81" s="165">
        <v>0.9998469014974267</v>
      </c>
      <c r="G81" s="165">
        <v>0.9998526984920927</v>
      </c>
      <c r="H81" s="165">
        <v>0.9998582893901249</v>
      </c>
      <c r="I81" s="165">
        <v>0.9998636809795542</v>
      </c>
      <c r="J81" s="165">
        <v>0.9998688798455808</v>
      </c>
      <c r="K81" s="165">
        <v>0.9998738923758592</v>
      </c>
      <c r="L81" s="165">
        <v>0.9998787247657144</v>
      </c>
      <c r="M81" s="165">
        <v>0.999883383023184</v>
      </c>
      <c r="N81" s="165">
        <v>0.9998878729740189</v>
      </c>
    </row>
    <row r="82" spans="1:14" ht="12.75">
      <c r="A82" s="166"/>
      <c r="B82" s="166"/>
      <c r="C82" s="166"/>
      <c r="D82" s="171">
        <v>3.700000000000002</v>
      </c>
      <c r="E82" s="165">
        <v>0.999892200266522</v>
      </c>
      <c r="F82" s="165">
        <v>0.9998963703763242</v>
      </c>
      <c r="G82" s="165">
        <v>0.9999003886110253</v>
      </c>
      <c r="H82" s="165">
        <v>0.999904260114733</v>
      </c>
      <c r="I82" s="165">
        <v>0.9999079898725252</v>
      </c>
      <c r="J82" s="165">
        <v>0.9999115827148002</v>
      </c>
      <c r="K82" s="165">
        <v>0.9999150433215042</v>
      </c>
      <c r="L82" s="165">
        <v>0.999918376226299</v>
      </c>
      <c r="M82" s="165">
        <v>0.9999215858206165</v>
      </c>
      <c r="N82" s="165">
        <v>0.999924676357622</v>
      </c>
    </row>
    <row r="83" spans="1:14" ht="12.75">
      <c r="A83" s="166"/>
      <c r="B83" s="166"/>
      <c r="C83" s="166"/>
      <c r="D83" s="171">
        <v>3.800000000000002</v>
      </c>
      <c r="E83" s="165">
        <v>0.9999276519560756</v>
      </c>
      <c r="F83" s="165">
        <v>0.9999305166041177</v>
      </c>
      <c r="G83" s="165">
        <v>0.9999332741629698</v>
      </c>
      <c r="H83" s="165">
        <v>0.9999359283705092</v>
      </c>
      <c r="I83" s="165">
        <v>0.9999384828448187</v>
      </c>
      <c r="J83" s="165">
        <v>0.999940941087582</v>
      </c>
      <c r="K83" s="165">
        <v>0.9999433064874635</v>
      </c>
      <c r="L83" s="165">
        <v>0.9999455823233683</v>
      </c>
      <c r="M83" s="165">
        <v>0.9999477717675965</v>
      </c>
      <c r="N83" s="165">
        <v>0.9999498778890042</v>
      </c>
    </row>
    <row r="84" spans="1:14" ht="12.75">
      <c r="A84" s="166"/>
      <c r="B84" s="166"/>
      <c r="C84" s="166"/>
      <c r="D84" s="171">
        <v>3.900000000000002</v>
      </c>
      <c r="E84" s="165">
        <v>0.9999519036559821</v>
      </c>
      <c r="F84" s="165">
        <v>0.9999538519394435</v>
      </c>
      <c r="G84" s="165">
        <v>0.999955725515683</v>
      </c>
      <c r="H84" s="165">
        <v>0.9999575270692137</v>
      </c>
      <c r="I84" s="165">
        <v>0.9999592591954402</v>
      </c>
      <c r="J84" s="165">
        <v>0.9999609244034011</v>
      </c>
      <c r="K84" s="165">
        <v>0.9999625251183089</v>
      </c>
      <c r="L84" s="165">
        <v>0.9999640636840943</v>
      </c>
      <c r="M84" s="165">
        <v>0.9999655423658864</v>
      </c>
      <c r="N84" s="165">
        <v>0.999966963352368</v>
      </c>
    </row>
    <row r="85" spans="1:14" ht="13.5" thickBot="1">
      <c r="A85" s="166"/>
      <c r="B85" s="166"/>
      <c r="C85" s="166"/>
      <c r="D85" s="170" t="s">
        <v>111</v>
      </c>
      <c r="E85" s="170" t="s">
        <v>125</v>
      </c>
      <c r="F85" s="170" t="s">
        <v>126</v>
      </c>
      <c r="G85" s="170" t="s">
        <v>127</v>
      </c>
      <c r="H85" s="170" t="s">
        <v>128</v>
      </c>
      <c r="I85" s="170" t="s">
        <v>129</v>
      </c>
      <c r="J85" s="170" t="s">
        <v>130</v>
      </c>
      <c r="K85" s="170" t="s">
        <v>131</v>
      </c>
      <c r="L85" s="170" t="s">
        <v>132</v>
      </c>
      <c r="M85" s="170" t="s">
        <v>133</v>
      </c>
      <c r="N85" s="170" t="s">
        <v>134</v>
      </c>
    </row>
    <row r="86" spans="1:3" ht="12.75">
      <c r="A86" s="166"/>
      <c r="B86" s="166"/>
      <c r="C86" s="166"/>
    </row>
    <row r="87" spans="1:3" ht="12.75">
      <c r="A87" s="166"/>
      <c r="B87" s="166"/>
      <c r="C87" s="166"/>
    </row>
    <row r="88" spans="1:3" ht="12.75">
      <c r="A88" s="166"/>
      <c r="B88" s="166"/>
      <c r="C88" s="166"/>
    </row>
    <row r="89" spans="1:3" ht="12.75">
      <c r="A89" s="166"/>
      <c r="B89" s="166"/>
      <c r="C89" s="166"/>
    </row>
    <row r="90" spans="1:3" ht="12.75">
      <c r="A90" s="166"/>
      <c r="B90" s="166"/>
      <c r="C90" s="166"/>
    </row>
    <row r="91" spans="1:3" ht="12.75">
      <c r="A91" s="166"/>
      <c r="B91" s="166"/>
      <c r="C91" s="166"/>
    </row>
    <row r="92" spans="1:3" ht="12.75">
      <c r="A92" s="166"/>
      <c r="B92" s="166"/>
      <c r="C92" s="166"/>
    </row>
    <row r="93" ht="15">
      <c r="D93" s="164"/>
    </row>
    <row r="94" ht="15">
      <c r="D94" s="164"/>
    </row>
  </sheetData>
  <sheetProtection/>
  <printOptions/>
  <pageMargins left="0.5" right="0.5" top="0.5" bottom="0.5" header="0" footer="0"/>
  <pageSetup fitToHeight="1" fitToWidth="1" horizontalDpi="300" verticalDpi="300" orientation="landscape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MI-WebMail--: "nov19'"</dc:title>
  <dc:subject/>
  <dc:creator>Agnes Azzolino</dc:creator>
  <cp:keywords/>
  <dc:description/>
  <cp:lastModifiedBy>User</cp:lastModifiedBy>
  <cp:lastPrinted>2009-12-06T18:16:22Z</cp:lastPrinted>
  <dcterms:created xsi:type="dcterms:W3CDTF">2001-09-02T11:59:18Z</dcterms:created>
  <dcterms:modified xsi:type="dcterms:W3CDTF">2012-07-28T11:51:36Z</dcterms:modified>
  <cp:category/>
  <cp:version/>
  <cp:contentType/>
  <cp:contentStatus/>
</cp:coreProperties>
</file>